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oaquin_herazo\Desktop\"/>
    </mc:Choice>
  </mc:AlternateContent>
  <bookViews>
    <workbookView xWindow="0" yWindow="0" windowWidth="24000" windowHeight="9135" tabRatio="641" activeTab="1"/>
  </bookViews>
  <sheets>
    <sheet name="EJE ING-19" sheetId="1" r:id="rId1"/>
    <sheet name="EJE GAS-19" sheetId="2" r:id="rId2"/>
    <sheet name="Hoja1" sheetId="3" r:id="rId3"/>
    <sheet name="Hoja2" sheetId="4" r:id="rId4"/>
  </sheets>
  <definedNames>
    <definedName name="_xlnm._FilterDatabase" localSheetId="1" hidden="1">'EJE GAS-19'!$D$2:$E$92</definedName>
    <definedName name="_xlnm._FilterDatabase" localSheetId="0" hidden="1">'EJE ING-19'!$A$4:$Y$85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1" i="2" l="1"/>
  <c r="E32" i="2"/>
  <c r="Q24" i="1" l="1"/>
  <c r="G11" i="1"/>
  <c r="N11" i="1"/>
  <c r="M11" i="1"/>
  <c r="R83" i="1" l="1"/>
  <c r="R81" i="1"/>
  <c r="R80" i="1"/>
  <c r="R79" i="1"/>
  <c r="R78" i="1"/>
  <c r="R72" i="1"/>
  <c r="R71" i="1"/>
  <c r="R70" i="1"/>
  <c r="R69" i="1"/>
  <c r="R68" i="1"/>
  <c r="R67" i="1"/>
  <c r="R66" i="1"/>
  <c r="R65" i="1"/>
  <c r="R64" i="1"/>
  <c r="R63" i="1"/>
  <c r="R62" i="1"/>
  <c r="R61" i="1"/>
  <c r="R60" i="1"/>
  <c r="R59" i="1"/>
  <c r="R58" i="1"/>
  <c r="R57" i="1"/>
  <c r="R56" i="1"/>
  <c r="R55" i="1"/>
  <c r="R54" i="1"/>
  <c r="R53" i="1"/>
  <c r="R52" i="1"/>
  <c r="R51" i="1"/>
  <c r="R50" i="1"/>
  <c r="R49" i="1"/>
  <c r="R48" i="1"/>
  <c r="R47" i="1"/>
  <c r="R46" i="1"/>
  <c r="R45" i="1"/>
  <c r="R44" i="1"/>
  <c r="R43" i="1"/>
  <c r="R42" i="1"/>
  <c r="R41" i="1"/>
  <c r="R40" i="1"/>
  <c r="R39" i="1"/>
  <c r="R38" i="1"/>
  <c r="R37" i="1"/>
  <c r="R36" i="1"/>
  <c r="R35" i="1"/>
  <c r="R34" i="1"/>
  <c r="R33" i="1"/>
  <c r="R32" i="1"/>
  <c r="R31" i="1"/>
  <c r="R30" i="1"/>
  <c r="R29" i="1"/>
  <c r="R28" i="1"/>
  <c r="R27" i="1"/>
  <c r="R26" i="1"/>
  <c r="R25" i="1"/>
  <c r="R24" i="1"/>
  <c r="R23" i="1"/>
  <c r="R22" i="1"/>
  <c r="R21" i="1"/>
  <c r="R20" i="1"/>
  <c r="R19" i="1"/>
  <c r="R18" i="1"/>
  <c r="R17" i="1"/>
  <c r="R16" i="1"/>
  <c r="R15" i="1"/>
  <c r="R14" i="1"/>
  <c r="R13" i="1"/>
  <c r="R12" i="1"/>
  <c r="R11" i="1"/>
  <c r="R10" i="1"/>
  <c r="R9" i="1"/>
  <c r="R7" i="1"/>
  <c r="Q8" i="1"/>
  <c r="Q73" i="1" s="1"/>
  <c r="Q6" i="1"/>
  <c r="Q22" i="1"/>
  <c r="Q7" i="1"/>
  <c r="Q85" i="1" l="1"/>
  <c r="Q84" i="1"/>
  <c r="Q77" i="1"/>
  <c r="Q79" i="1"/>
  <c r="Q78" i="1"/>
  <c r="S54" i="2"/>
  <c r="T72" i="2"/>
  <c r="T71" i="2"/>
  <c r="T70" i="2"/>
  <c r="T69" i="2"/>
  <c r="T68" i="2"/>
  <c r="T64" i="2"/>
  <c r="T63" i="2"/>
  <c r="T58" i="2"/>
  <c r="T57" i="2"/>
  <c r="T56" i="2"/>
  <c r="T55" i="2"/>
  <c r="T53" i="2"/>
  <c r="T52" i="2"/>
  <c r="T51" i="2"/>
  <c r="T50" i="2"/>
  <c r="T47" i="2"/>
  <c r="T46" i="2"/>
  <c r="T45" i="2"/>
  <c r="T44" i="2"/>
  <c r="T43" i="2"/>
  <c r="T42" i="2"/>
  <c r="T40" i="2"/>
  <c r="T39" i="2"/>
  <c r="T38" i="2"/>
  <c r="T36" i="2"/>
  <c r="T35" i="2"/>
  <c r="T34" i="2"/>
  <c r="T33" i="2"/>
  <c r="T32" i="2"/>
  <c r="T31" i="2"/>
  <c r="T28" i="2"/>
  <c r="T26" i="2"/>
  <c r="T25" i="2"/>
  <c r="T24" i="2"/>
  <c r="T23" i="2"/>
  <c r="T21" i="2"/>
  <c r="T20" i="2"/>
  <c r="T19" i="2"/>
  <c r="T18" i="2"/>
  <c r="T16" i="2"/>
  <c r="T15" i="2"/>
  <c r="T14" i="2"/>
  <c r="T12" i="2"/>
  <c r="T11" i="2"/>
  <c r="T10" i="2"/>
  <c r="T9" i="2"/>
  <c r="T8" i="2"/>
  <c r="T7" i="2"/>
  <c r="T6" i="2"/>
  <c r="S73" i="2"/>
  <c r="S49" i="2"/>
  <c r="S37" i="2"/>
  <c r="S30" i="2"/>
  <c r="S22" i="2"/>
  <c r="S17" i="2"/>
  <c r="S5" i="2"/>
  <c r="S60" i="2" l="1"/>
  <c r="S74" i="2" s="1"/>
  <c r="T67" i="2"/>
  <c r="R73" i="2"/>
  <c r="Q73" i="2"/>
  <c r="P73" i="2"/>
  <c r="O73" i="2"/>
  <c r="N73" i="2"/>
  <c r="M73" i="2"/>
  <c r="L73" i="2"/>
  <c r="K73" i="2"/>
  <c r="R54" i="2"/>
  <c r="R49" i="2"/>
  <c r="R37" i="2"/>
  <c r="R30" i="2"/>
  <c r="R22" i="2"/>
  <c r="R17" i="2"/>
  <c r="R5" i="2"/>
  <c r="Q13" i="2"/>
  <c r="T13" i="2" s="1"/>
  <c r="P8" i="1"/>
  <c r="P6" i="1"/>
  <c r="P72" i="1"/>
  <c r="P22" i="1"/>
  <c r="R60" i="2" l="1"/>
  <c r="R74" i="2" s="1"/>
  <c r="P73" i="1"/>
  <c r="P81" i="1"/>
  <c r="P79" i="1"/>
  <c r="P78" i="1"/>
  <c r="P77" i="1" s="1"/>
  <c r="P84" i="1" s="1"/>
  <c r="P85" i="1" l="1"/>
  <c r="Q54" i="2"/>
  <c r="Q49" i="2"/>
  <c r="Q30" i="2"/>
  <c r="Q37" i="2"/>
  <c r="Q22" i="2"/>
  <c r="Q17" i="2"/>
  <c r="Q5" i="2"/>
  <c r="Q60" i="2" l="1"/>
  <c r="Q74" i="2" s="1"/>
  <c r="O81" i="1"/>
  <c r="O8" i="1"/>
  <c r="O41" i="1"/>
  <c r="O22" i="1"/>
  <c r="O6" i="1"/>
  <c r="O79" i="1"/>
  <c r="O78" i="1"/>
  <c r="O77" i="1" s="1"/>
  <c r="O84" i="1" s="1"/>
  <c r="O9" i="1"/>
  <c r="O73" i="1" l="1"/>
  <c r="O85" i="1" s="1"/>
  <c r="N6" i="1"/>
  <c r="N22" i="1"/>
  <c r="N79" i="1" l="1"/>
  <c r="N8" i="1"/>
  <c r="N73" i="1" s="1"/>
  <c r="P41" i="2"/>
  <c r="T41" i="2" s="1"/>
  <c r="N81" i="1" l="1"/>
  <c r="N78" i="1"/>
  <c r="N77" i="1" s="1"/>
  <c r="N84" i="1" s="1"/>
  <c r="N85" i="1" s="1"/>
  <c r="P54" i="2" l="1"/>
  <c r="P49" i="2"/>
  <c r="P37" i="2"/>
  <c r="P30" i="2"/>
  <c r="P22" i="2"/>
  <c r="P17" i="2"/>
  <c r="P5" i="2"/>
  <c r="P60" i="2" l="1"/>
  <c r="P74" i="2" s="1"/>
  <c r="C11" i="3"/>
  <c r="L7" i="3"/>
  <c r="L4" i="3"/>
  <c r="L3" i="3" s="1"/>
  <c r="M6" i="1" l="1"/>
  <c r="O54" i="2"/>
  <c r="O49" i="2"/>
  <c r="O37" i="2"/>
  <c r="O30" i="2"/>
  <c r="O22" i="2"/>
  <c r="O17" i="2"/>
  <c r="O5" i="2"/>
  <c r="O60" i="2" l="1"/>
  <c r="O74" i="2" s="1"/>
  <c r="M39" i="1"/>
  <c r="M45" i="1"/>
  <c r="M43" i="1"/>
  <c r="M22" i="1"/>
  <c r="M48" i="1"/>
  <c r="M14" i="1"/>
  <c r="M8" i="1" l="1"/>
  <c r="M73" i="1" s="1"/>
  <c r="K7" i="3"/>
  <c r="M7" i="3" s="1"/>
  <c r="K6" i="3"/>
  <c r="K5" i="3"/>
  <c r="K4" i="3"/>
  <c r="K3" i="3" s="1"/>
  <c r="M81" i="1"/>
  <c r="M80" i="1"/>
  <c r="M78" i="1"/>
  <c r="M79" i="1"/>
  <c r="M77" i="1" l="1"/>
  <c r="M84" i="1" s="1"/>
  <c r="M85" i="1" s="1"/>
  <c r="C3" i="3"/>
  <c r="F3" i="3"/>
  <c r="I5" i="3"/>
  <c r="I4" i="3"/>
  <c r="J6" i="3"/>
  <c r="M6" i="3" s="1"/>
  <c r="H5" i="3"/>
  <c r="G5" i="3"/>
  <c r="E5" i="3"/>
  <c r="E3" i="3" s="1"/>
  <c r="D5" i="3"/>
  <c r="J4" i="3"/>
  <c r="H4" i="3"/>
  <c r="G4" i="3"/>
  <c r="D3" i="3" l="1"/>
  <c r="M5" i="3"/>
  <c r="M4" i="3"/>
  <c r="J3" i="3"/>
  <c r="I3" i="3"/>
  <c r="G3" i="3"/>
  <c r="H3" i="3"/>
  <c r="M3" i="3" l="1"/>
  <c r="L6" i="1"/>
  <c r="L80" i="1"/>
  <c r="L78" i="1"/>
  <c r="L77" i="1" s="1"/>
  <c r="L84" i="1" s="1"/>
  <c r="L24" i="1"/>
  <c r="N54" i="2" l="1"/>
  <c r="N49" i="2"/>
  <c r="N37" i="2"/>
  <c r="N30" i="2"/>
  <c r="N22" i="2"/>
  <c r="N17" i="2"/>
  <c r="N5" i="2"/>
  <c r="L22" i="1"/>
  <c r="L8" i="1" s="1"/>
  <c r="L73" i="1" s="1"/>
  <c r="L85" i="1" s="1"/>
  <c r="N60" i="2" l="1"/>
  <c r="N74" i="2" s="1"/>
  <c r="C67" i="4"/>
  <c r="K79" i="1"/>
  <c r="K78" i="1"/>
  <c r="K9" i="1"/>
  <c r="K72" i="1"/>
  <c r="K11" i="1"/>
  <c r="K24" i="1"/>
  <c r="K48" i="1"/>
  <c r="K77" i="1" l="1"/>
  <c r="K84" i="1" s="1"/>
  <c r="K22" i="1"/>
  <c r="K8" i="1" s="1"/>
  <c r="K6" i="1"/>
  <c r="M54" i="2"/>
  <c r="M49" i="2"/>
  <c r="M37" i="2"/>
  <c r="M30" i="2"/>
  <c r="M22" i="2"/>
  <c r="M17" i="2"/>
  <c r="M5" i="2"/>
  <c r="K73" i="1" l="1"/>
  <c r="K85" i="1"/>
  <c r="M60" i="2"/>
  <c r="M74" i="2" s="1"/>
  <c r="L59" i="2"/>
  <c r="T59" i="2" s="1"/>
  <c r="J11" i="1" l="1"/>
  <c r="J6" i="1"/>
  <c r="J72" i="1"/>
  <c r="J79" i="1"/>
  <c r="J48" i="1"/>
  <c r="J22" i="1"/>
  <c r="J78" i="1"/>
  <c r="L54" i="2"/>
  <c r="K54" i="2"/>
  <c r="L49" i="2"/>
  <c r="K49" i="2"/>
  <c r="L37" i="2"/>
  <c r="K37" i="2"/>
  <c r="L30" i="2"/>
  <c r="L22" i="2"/>
  <c r="L17" i="2"/>
  <c r="L5" i="2"/>
  <c r="J77" i="1" l="1"/>
  <c r="J84" i="1" s="1"/>
  <c r="J8" i="1"/>
  <c r="J73" i="1" s="1"/>
  <c r="L60" i="2"/>
  <c r="L74" i="2" s="1"/>
  <c r="K30" i="2"/>
  <c r="K22" i="2"/>
  <c r="K17" i="2"/>
  <c r="K5" i="2"/>
  <c r="J85" i="1" l="1"/>
  <c r="K60" i="2"/>
  <c r="K74" i="2" s="1"/>
  <c r="I24" i="1"/>
  <c r="I10" i="1"/>
  <c r="I6" i="1"/>
  <c r="I22" i="1" l="1"/>
  <c r="I14" i="1" l="1"/>
  <c r="I11" i="1"/>
  <c r="I8" i="1" l="1"/>
  <c r="I73" i="1" s="1"/>
  <c r="I79" i="1"/>
  <c r="I78" i="1"/>
  <c r="I77" i="1" l="1"/>
  <c r="I84" i="1" s="1"/>
  <c r="I85" i="1" s="1"/>
  <c r="H6" i="1"/>
  <c r="H77" i="1" l="1"/>
  <c r="H84" i="1" s="1"/>
  <c r="H22" i="1" l="1"/>
  <c r="H46" i="1"/>
  <c r="H11" i="1"/>
  <c r="H48" i="1"/>
  <c r="J73" i="2"/>
  <c r="J54" i="2"/>
  <c r="J49" i="2"/>
  <c r="J37" i="2"/>
  <c r="J30" i="2"/>
  <c r="J22" i="2"/>
  <c r="J17" i="2"/>
  <c r="J5" i="2"/>
  <c r="J60" i="2" l="1"/>
  <c r="J74" i="2" s="1"/>
  <c r="H8" i="1"/>
  <c r="H73" i="1" s="1"/>
  <c r="H85" i="1" s="1"/>
  <c r="R6" i="1"/>
  <c r="T30" i="2"/>
  <c r="T73" i="2"/>
  <c r="T54" i="2"/>
  <c r="T17" i="2"/>
  <c r="T5" i="2"/>
  <c r="T37" i="2" l="1"/>
  <c r="T49" i="2"/>
  <c r="G6" i="1"/>
  <c r="I27" i="2"/>
  <c r="T27" i="2" s="1"/>
  <c r="I73" i="2"/>
  <c r="I54" i="2"/>
  <c r="I49" i="2"/>
  <c r="I37" i="2"/>
  <c r="I30" i="2"/>
  <c r="I17" i="2"/>
  <c r="I5" i="2"/>
  <c r="I22" i="2" l="1"/>
  <c r="I60" i="2" s="1"/>
  <c r="I74" i="2" s="1"/>
  <c r="T22" i="2"/>
  <c r="T60" i="2" s="1"/>
  <c r="T74" i="2" s="1"/>
  <c r="G79" i="1"/>
  <c r="G77" i="1" s="1"/>
  <c r="G84" i="1" s="1"/>
  <c r="G41" i="1"/>
  <c r="G48" i="1" l="1"/>
  <c r="G22" i="1"/>
  <c r="G8" i="1" s="1"/>
  <c r="G73" i="1" s="1"/>
  <c r="G85" i="1" s="1"/>
  <c r="F5" i="2" l="1"/>
  <c r="E5" i="2"/>
  <c r="D5" i="2"/>
  <c r="F17" i="2"/>
  <c r="E17" i="2"/>
  <c r="D17" i="2"/>
  <c r="F22" i="2"/>
  <c r="E22" i="2"/>
  <c r="D22" i="2"/>
  <c r="F30" i="2"/>
  <c r="E30" i="2"/>
  <c r="D30" i="2"/>
  <c r="F37" i="2"/>
  <c r="E37" i="2"/>
  <c r="D37" i="2"/>
  <c r="F49" i="2"/>
  <c r="E49" i="2"/>
  <c r="D49" i="2"/>
  <c r="F54" i="2"/>
  <c r="E54" i="2"/>
  <c r="D54" i="2"/>
  <c r="F73" i="2"/>
  <c r="E73" i="2"/>
  <c r="D73" i="2"/>
  <c r="G72" i="2"/>
  <c r="G71" i="2"/>
  <c r="G70" i="2"/>
  <c r="G69" i="2"/>
  <c r="G68" i="2"/>
  <c r="G64" i="2"/>
  <c r="G63" i="2"/>
  <c r="G59" i="2"/>
  <c r="G58" i="2"/>
  <c r="G57" i="2"/>
  <c r="G56" i="2"/>
  <c r="G55" i="2"/>
  <c r="G53" i="2"/>
  <c r="G52" i="2"/>
  <c r="G51" i="2"/>
  <c r="G50" i="2"/>
  <c r="G47" i="2"/>
  <c r="G46" i="2"/>
  <c r="G45" i="2"/>
  <c r="G44" i="2"/>
  <c r="G43" i="2"/>
  <c r="G42" i="2"/>
  <c r="G40" i="2"/>
  <c r="G39" i="2"/>
  <c r="G38" i="2"/>
  <c r="G36" i="2"/>
  <c r="G35" i="2"/>
  <c r="G34" i="2"/>
  <c r="G33" i="2"/>
  <c r="G32" i="2"/>
  <c r="G31" i="2"/>
  <c r="G28" i="2"/>
  <c r="G27" i="2"/>
  <c r="G26" i="2"/>
  <c r="G25" i="2"/>
  <c r="G24" i="2"/>
  <c r="G23" i="2"/>
  <c r="G21" i="2"/>
  <c r="G20" i="2"/>
  <c r="G19" i="2"/>
  <c r="G18" i="2"/>
  <c r="G16" i="2"/>
  <c r="G15" i="2"/>
  <c r="G14" i="2"/>
  <c r="G13" i="2"/>
  <c r="G12" i="2"/>
  <c r="G11" i="2"/>
  <c r="G10" i="2"/>
  <c r="G9" i="2"/>
  <c r="G8" i="2"/>
  <c r="G7" i="2"/>
  <c r="G6" i="2"/>
  <c r="F6" i="1"/>
  <c r="H73" i="2"/>
  <c r="H54" i="2"/>
  <c r="H49" i="2"/>
  <c r="H37" i="2"/>
  <c r="H30" i="2"/>
  <c r="H22" i="2"/>
  <c r="H17" i="2"/>
  <c r="H5" i="2"/>
  <c r="C73" i="2"/>
  <c r="C65" i="2"/>
  <c r="C54" i="2"/>
  <c r="C49" i="2"/>
  <c r="C37" i="2"/>
  <c r="C30" i="2"/>
  <c r="C22" i="2"/>
  <c r="C17" i="2"/>
  <c r="C5" i="2"/>
  <c r="E60" i="2" l="1"/>
  <c r="E74" i="2" s="1"/>
  <c r="G49" i="2"/>
  <c r="G73" i="2"/>
  <c r="G30" i="2"/>
  <c r="G54" i="2"/>
  <c r="C60" i="2"/>
  <c r="C74" i="2" s="1"/>
  <c r="G5" i="2"/>
  <c r="G37" i="2"/>
  <c r="H60" i="2"/>
  <c r="H74" i="2" s="1"/>
  <c r="G22" i="2"/>
  <c r="G17" i="2"/>
  <c r="D60" i="2"/>
  <c r="D74" i="2" s="1"/>
  <c r="F60" i="2"/>
  <c r="F74" i="2" s="1"/>
  <c r="G60" i="2" l="1"/>
  <c r="F79" i="1"/>
  <c r="F14" i="1"/>
  <c r="F48" i="1"/>
  <c r="G74" i="2" l="1"/>
  <c r="R77" i="1"/>
  <c r="F77" i="1"/>
  <c r="F11" i="1"/>
  <c r="F22" i="1"/>
  <c r="E81" i="1"/>
  <c r="E80" i="1"/>
  <c r="E79" i="1"/>
  <c r="E78" i="1"/>
  <c r="E9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7" i="1"/>
  <c r="E6" i="1" s="1"/>
  <c r="F84" i="1" l="1"/>
  <c r="R84" i="1"/>
  <c r="E8" i="1"/>
  <c r="E73" i="1" s="1"/>
  <c r="E77" i="1"/>
  <c r="E84" i="1" s="1"/>
  <c r="R8" i="1"/>
  <c r="R73" i="1" s="1"/>
  <c r="F8" i="1"/>
  <c r="F73" i="1" s="1"/>
  <c r="F85" i="1" s="1"/>
  <c r="C77" i="1"/>
  <c r="C84" i="1" s="1"/>
  <c r="C8" i="1"/>
  <c r="C6" i="1"/>
  <c r="R85" i="1" l="1"/>
  <c r="C73" i="1"/>
  <c r="C85" i="1" s="1"/>
  <c r="C24" i="4" s="1"/>
  <c r="C28" i="4" s="1"/>
  <c r="E85" i="1"/>
  <c r="C25" i="4" l="1"/>
  <c r="C26" i="4"/>
  <c r="C27" i="4"/>
  <c r="C30" i="4" l="1"/>
</calcChain>
</file>

<file path=xl/comments1.xml><?xml version="1.0" encoding="utf-8"?>
<comments xmlns="http://schemas.openxmlformats.org/spreadsheetml/2006/main">
  <authors>
    <author>Joaquin Herazo</author>
  </authors>
  <commentList>
    <comment ref="J72" authorId="0" shapeId="0">
      <text>
        <r>
          <rPr>
            <b/>
            <sz val="9"/>
            <color indexed="81"/>
            <rFont val="Tahoma"/>
            <family val="2"/>
          </rPr>
          <t>Joaquin Herazo:</t>
        </r>
        <r>
          <rPr>
            <sz val="9"/>
            <color indexed="81"/>
            <rFont val="Tahoma"/>
            <family val="2"/>
          </rPr>
          <t xml:space="preserve">
plan manejo de transito
</t>
        </r>
      </text>
    </comment>
  </commentList>
</comments>
</file>

<file path=xl/sharedStrings.xml><?xml version="1.0" encoding="utf-8"?>
<sst xmlns="http://schemas.openxmlformats.org/spreadsheetml/2006/main" count="347" uniqueCount="312">
  <si>
    <t>CODIGO PPTAL</t>
  </si>
  <si>
    <t>DETALLE</t>
  </si>
  <si>
    <t xml:space="preserve"> PPTO 2019</t>
  </si>
  <si>
    <t>INGRESOS TRIBUTARIOS</t>
  </si>
  <si>
    <t>1.1.1</t>
  </si>
  <si>
    <t>IMP. SOBRE VEHICULOS AUTOMOTORES</t>
  </si>
  <si>
    <t>INGRESOS NO TRIBUTARIOS</t>
  </si>
  <si>
    <t>1.2.1</t>
  </si>
  <si>
    <t>MULTAS</t>
  </si>
  <si>
    <t>1.2.2</t>
  </si>
  <si>
    <t>PORTE DE PLACAS</t>
  </si>
  <si>
    <t>1.2.3</t>
  </si>
  <si>
    <t>FORMATO DE FACTURACION</t>
  </si>
  <si>
    <t>1.2.4</t>
  </si>
  <si>
    <t>LICENCIA DE CONDUCCION</t>
  </si>
  <si>
    <t>1.2.5</t>
  </si>
  <si>
    <t>CERTIFICACION  DE LICENCIAS DE CONDUCCION</t>
  </si>
  <si>
    <t>1.2.6</t>
  </si>
  <si>
    <t>AVALUOS COMERCIALES</t>
  </si>
  <si>
    <t>1.2.7</t>
  </si>
  <si>
    <t>LEVANTAMIENTO DE CROQUIS</t>
  </si>
  <si>
    <t>1.2.8</t>
  </si>
  <si>
    <t>SERVICIO DE GRUA</t>
  </si>
  <si>
    <t>1.2.9</t>
  </si>
  <si>
    <t>GARAJE Y PARQUEO</t>
  </si>
  <si>
    <t>1.2.10</t>
  </si>
  <si>
    <t>SERVICIO DE ALFEREZ</t>
  </si>
  <si>
    <t>1.2.11</t>
  </si>
  <si>
    <t>PRUEBA DE ALCOHOLEMIA</t>
  </si>
  <si>
    <t>1.2.12</t>
  </si>
  <si>
    <t>CHEQUEOS OTRAS PLAZAS</t>
  </si>
  <si>
    <t>1.2.13</t>
  </si>
  <si>
    <t>CHEQUEOS A DOMICICLIO</t>
  </si>
  <si>
    <t>1.2.14</t>
  </si>
  <si>
    <t>MATRICULAS</t>
  </si>
  <si>
    <t>1.2.15</t>
  </si>
  <si>
    <t>PORTE Y TELEGRAMAS</t>
  </si>
  <si>
    <t>1.2.16</t>
  </si>
  <si>
    <t>TRASPASO</t>
  </si>
  <si>
    <t>1.2.17</t>
  </si>
  <si>
    <t>RADICACION DE CUENTA</t>
  </si>
  <si>
    <t>1.2.18</t>
  </si>
  <si>
    <t>TRASLADO DE CUENTA</t>
  </si>
  <si>
    <t>1.2.19</t>
  </si>
  <si>
    <t>CANCELACION MATRICULA</t>
  </si>
  <si>
    <t>1.2.20</t>
  </si>
  <si>
    <t>CERTIFICADO DE TRADICION</t>
  </si>
  <si>
    <t>1.2.21</t>
  </si>
  <si>
    <t>CERTIFICADO DE PROPIEDAD</t>
  </si>
  <si>
    <t>1.2.22</t>
  </si>
  <si>
    <t>EMBARGOS</t>
  </si>
  <si>
    <t>1.2.23</t>
  </si>
  <si>
    <t>DESEMBARGOS</t>
  </si>
  <si>
    <t>1.2.24</t>
  </si>
  <si>
    <t>PIGNORACION</t>
  </si>
  <si>
    <t>1.2.25</t>
  </si>
  <si>
    <t>DESPIGNORACION</t>
  </si>
  <si>
    <t>1.2.26</t>
  </si>
  <si>
    <t>DUPLICADO DE LICENCIAS TRANSITO</t>
  </si>
  <si>
    <t>1.2.27</t>
  </si>
  <si>
    <t>REGRABACION</t>
  </si>
  <si>
    <t>1.2.28</t>
  </si>
  <si>
    <t>DUPLICADO DE PLACAS</t>
  </si>
  <si>
    <t>1.2.29</t>
  </si>
  <si>
    <t>CAMBIO DE PLACAS</t>
  </si>
  <si>
    <t>1.2.30</t>
  </si>
  <si>
    <t>CAMBIO DE MOTOR</t>
  </si>
  <si>
    <t>1.2.31</t>
  </si>
  <si>
    <t>CAMBIO DE SERVICIO</t>
  </si>
  <si>
    <t>1.2.32</t>
  </si>
  <si>
    <t>CAMBIO DE COLOR</t>
  </si>
  <si>
    <t>1.2.33</t>
  </si>
  <si>
    <t>CAMBIO  DE CARROCERIA</t>
  </si>
  <si>
    <t>1.2.34</t>
  </si>
  <si>
    <t>CAMBIO DE EMPRESA</t>
  </si>
  <si>
    <t>1.2.35</t>
  </si>
  <si>
    <t>CAPACIDAD TRANSPORTADORA</t>
  </si>
  <si>
    <t>1.2.36</t>
  </si>
  <si>
    <t>REGISTRO DE TRAMITE</t>
  </si>
  <si>
    <t>1.2.37</t>
  </si>
  <si>
    <t>TARJETA DE  OPERACIÓN TAXI</t>
  </si>
  <si>
    <t>1.2.38</t>
  </si>
  <si>
    <t>TARJETA DE  OPERACIÓN DE BUSES</t>
  </si>
  <si>
    <t>1.2.39</t>
  </si>
  <si>
    <t>EXPERTICIO TECNICO</t>
  </si>
  <si>
    <t>1.2.40</t>
  </si>
  <si>
    <t>FOTOCOPIAS CERTIFICADAS</t>
  </si>
  <si>
    <t>1.2.41</t>
  </si>
  <si>
    <t>SIN PENDIENTE</t>
  </si>
  <si>
    <t>1.2.42</t>
  </si>
  <si>
    <t>REPOTENCIACION</t>
  </si>
  <si>
    <t>1.2.43</t>
  </si>
  <si>
    <t>REGISTRO FOTOGRAFICO</t>
  </si>
  <si>
    <t>1.2.44</t>
  </si>
  <si>
    <t>REGISTRO POR RECUPERACION EN CASO DE HURTO O PERDIDA DEFINITIVA</t>
  </si>
  <si>
    <t>1.2.45</t>
  </si>
  <si>
    <t>HABILITACION EMPRESA PERSONA NATURAL</t>
  </si>
  <si>
    <t>1.2.46</t>
  </si>
  <si>
    <t>HABILITACION EMPRESA PERSONA JURIDICA</t>
  </si>
  <si>
    <t>1.2.47</t>
  </si>
  <si>
    <t>DESVINCULACION POR MUTUO ACUERDO</t>
  </si>
  <si>
    <t>1.2.48</t>
  </si>
  <si>
    <t>PAZ Y SALVO</t>
  </si>
  <si>
    <t>1.2.49</t>
  </si>
  <si>
    <t>REAVALUO</t>
  </si>
  <si>
    <t>1.2.50</t>
  </si>
  <si>
    <t>RENOVACION DE LICENCIAS DE TRANSITO</t>
  </si>
  <si>
    <t>1.2.51</t>
  </si>
  <si>
    <t>DUPLICADO O RENOVACION TARJETA DE REGISTRO</t>
  </si>
  <si>
    <t>1.2.52</t>
  </si>
  <si>
    <t>BLINDAJE Y DESMONTE</t>
  </si>
  <si>
    <t>1.2.53</t>
  </si>
  <si>
    <t>MODIFICACION DEL PRENDARIO POR ACREEDOR O PROPIETARIO</t>
  </si>
  <si>
    <t>12.54</t>
  </si>
  <si>
    <t>TRANSFORMACION</t>
  </si>
  <si>
    <t>1.2.55</t>
  </si>
  <si>
    <t>REMATRICULA</t>
  </si>
  <si>
    <t>1.2.56</t>
  </si>
  <si>
    <t>CONVERSION A GAS NATURAL</t>
  </si>
  <si>
    <t>1.2.57</t>
  </si>
  <si>
    <t>REGISTRO INICIAL MAQUINARIA AGRICOLA, INDUSTRIAL Y  DE CONSTRUCCION</t>
  </si>
  <si>
    <t>1.2.58</t>
  </si>
  <si>
    <t>CAMBIO DE PROPIETARIO MAQUINARIA INDUSTRIAL</t>
  </si>
  <si>
    <t>1.2.59</t>
  </si>
  <si>
    <t>REFACTURACION</t>
  </si>
  <si>
    <t>1.2.60</t>
  </si>
  <si>
    <t>CONVENIOS</t>
  </si>
  <si>
    <t>1.2.61</t>
  </si>
  <si>
    <t>DEMARCACIONES</t>
  </si>
  <si>
    <t>1.2.62</t>
  </si>
  <si>
    <t>PERMISOS</t>
  </si>
  <si>
    <t>1.2.63</t>
  </si>
  <si>
    <t>FUN</t>
  </si>
  <si>
    <t>1.2.64</t>
  </si>
  <si>
    <t>OTROS INGRESOS</t>
  </si>
  <si>
    <t>TOTAL INGRESOS CORRIENTES DE LA I.T.T.B</t>
  </si>
  <si>
    <t>RECURSOS DEL CAPITAL</t>
  </si>
  <si>
    <t>RECURSOS DEL CREDITO</t>
  </si>
  <si>
    <t>RECURSOS DEL BALANCE</t>
  </si>
  <si>
    <t>RECUPERACION DE CARTERA</t>
  </si>
  <si>
    <t>2.3.1</t>
  </si>
  <si>
    <t>Recuperacion cartera  comparendos</t>
  </si>
  <si>
    <t>2.3.2</t>
  </si>
  <si>
    <t>2.3.3</t>
  </si>
  <si>
    <t>Recuperacion cartera porte de placas</t>
  </si>
  <si>
    <t>2.3.4</t>
  </si>
  <si>
    <t>Recuperacion cartera Sistematizacion y Facturacion</t>
  </si>
  <si>
    <t>2.4.</t>
  </si>
  <si>
    <t>RENDIMIENTO FINANCIERO</t>
  </si>
  <si>
    <t>2.5.</t>
  </si>
  <si>
    <t>VENTA DE ACTIVO</t>
  </si>
  <si>
    <t>TOTAL INGRESOS CAPITAL DE LA I.T.T.B</t>
  </si>
  <si>
    <t>TOTAL PRESUPUESTO INGRESOS 2019</t>
  </si>
  <si>
    <t>ADICION PRESUPUESTAL</t>
  </si>
  <si>
    <t>PRESUPUESTO AJUSTADO</t>
  </si>
  <si>
    <t>RECAUDO ENERO 2019</t>
  </si>
  <si>
    <t>CODIGO PRESUPUESTAL</t>
  </si>
  <si>
    <t xml:space="preserve">CONCEPTO </t>
  </si>
  <si>
    <t>PPTO 2019</t>
  </si>
  <si>
    <t>GASTOS DE FUNCIONAMIENTO</t>
  </si>
  <si>
    <t xml:space="preserve">SERVICIOS PERSONALES </t>
  </si>
  <si>
    <t>SERVICIOS PERSONALES ASOCIADOS A LA NOMINA</t>
  </si>
  <si>
    <t>SUELDO PERSONAL DE NOMINA</t>
  </si>
  <si>
    <t>PRIMA DE NAVIDAD</t>
  </si>
  <si>
    <t>PRIMA DE VACACIONES</t>
  </si>
  <si>
    <t>INDEMNIZACION POR VACACIONES</t>
  </si>
  <si>
    <t>SUBSIDIO DE TRANSPORTE</t>
  </si>
  <si>
    <t>SEGURO DE VIDA</t>
  </si>
  <si>
    <t>JORNALES HORAS EXTRAS Y DEMAS PRES. SOCIALES</t>
  </si>
  <si>
    <t>TRABAJOS SUPLEMENTARIOS</t>
  </si>
  <si>
    <t>PRIMA DE SERVICIOS</t>
  </si>
  <si>
    <t xml:space="preserve">BONIFICACION POR SERVICIOS PRESTADOS </t>
  </si>
  <si>
    <t>BONIFICACION POR RECREACION</t>
  </si>
  <si>
    <t>SERVICIOS PERSONALES INDIRECTOS</t>
  </si>
  <si>
    <t>REMUNERACION POR SERVICIOS TECNICOS Y PROFESIONALES</t>
  </si>
  <si>
    <t>PERSONAL TEMPORAL Y SUPERNUMERARIO</t>
  </si>
  <si>
    <t>LEY 769 ART 160 (PROY. SEG. VIAL)</t>
  </si>
  <si>
    <t>OTROS GASTOS POR SERVICIOS PERSONALES</t>
  </si>
  <si>
    <t>CONTRIBUCIONES INHERENTES A LA NOMINA SECTOR PRIVADO</t>
  </si>
  <si>
    <t>CAJA DECOMPENSACIÒN FAMILIAR (4%)</t>
  </si>
  <si>
    <t>APORTES AL INST. COL. BIENESTAR FAMILIAR (3%)</t>
  </si>
  <si>
    <t>APORTES AL SENA (2%)</t>
  </si>
  <si>
    <t>APORTES A LA ESCUELA SUP. DE ADMON. PUBLICA</t>
  </si>
  <si>
    <t>APORTES A ESC. IND. E INST. TEC. DTAL. DIST. Y M/PALES</t>
  </si>
  <si>
    <t>APORTES A LA SEGURIDAD SOCIAL</t>
  </si>
  <si>
    <t>GASTOS GENERALES</t>
  </si>
  <si>
    <t>ADQUISICIÒN DE BIENES</t>
  </si>
  <si>
    <t>COMPRA DE EQUIPOS</t>
  </si>
  <si>
    <t xml:space="preserve">MATERIALES Y SUMINISTROS </t>
  </si>
  <si>
    <t>LEY 769 ART 160 (COMBUSTIBLE-EQUIPOS-DOTACION PROY SEG VIAL)</t>
  </si>
  <si>
    <t>IMPRESOS Y PUBLICACIONES</t>
  </si>
  <si>
    <t>GASTOS IMPREVISTOS</t>
  </si>
  <si>
    <t>ESPECIES VENALES</t>
  </si>
  <si>
    <t>ADQUISICIÒN DE SERVICIOS</t>
  </si>
  <si>
    <t>COMUNICACIONES Y TRANSPORTE</t>
  </si>
  <si>
    <t xml:space="preserve">MANTENIMIENTO </t>
  </si>
  <si>
    <t>SEGUROS</t>
  </si>
  <si>
    <t>SERVICIOS PUBLICOS</t>
  </si>
  <si>
    <t>VIATICOS Y GASTOS DE VIAJE</t>
  </si>
  <si>
    <t xml:space="preserve">ARRENDAMIENTO DE BIENES E INMUEBLES </t>
  </si>
  <si>
    <t>IMPUESTOS, TASAS, MULTAS Y REVISIONES</t>
  </si>
  <si>
    <t>GASTOS FINANCIEROS</t>
  </si>
  <si>
    <t>PLAN DE MANEJO AMBIENTAL</t>
  </si>
  <si>
    <t>OTROS GASTOS GENERALES</t>
  </si>
  <si>
    <t>TRANSFERENCIAS CORRIENTES</t>
  </si>
  <si>
    <t>TRANSFERENCIAS DE PREVISIÒN Y SEGURIDAD SOCIAL</t>
  </si>
  <si>
    <t>MESADA PENSIONAL</t>
  </si>
  <si>
    <t>BONO PENSIONAL</t>
  </si>
  <si>
    <t>CESANTIAS</t>
  </si>
  <si>
    <t>INTERESES DE CESANTIAS</t>
  </si>
  <si>
    <t>OTRAS TRANSFERENCIAS CORRIENTES</t>
  </si>
  <si>
    <t>CUMP. DE SENTENCIAS TRANSACCIONES CURADURIAS</t>
  </si>
  <si>
    <t>GASTOS DE CAPACITACION BIENESTAR SOCIAL E INCENTIVOS</t>
  </si>
  <si>
    <t>PACTOS CONVENCIONALES</t>
  </si>
  <si>
    <t>SISTEMA DE GESTION EN SEGURIDAD Y SALUD EN EL TRABAJO</t>
  </si>
  <si>
    <t>DEFICIT FISCAL</t>
  </si>
  <si>
    <t xml:space="preserve">TOTAL GASTOS DE FUNCIONAMIENTO </t>
  </si>
  <si>
    <t>DEUDA PUBLICA</t>
  </si>
  <si>
    <t>SERVICIO DE LA DEUDA PUBLICA</t>
  </si>
  <si>
    <t>AMORTIZACIÒN DE CAPITAL</t>
  </si>
  <si>
    <t>INTERESES, COMISIONES Y DEMAS EROGACIONES DE LA DEUDA</t>
  </si>
  <si>
    <t>TOTAL DEUDA PUBLICA DE LA I.T.T.B</t>
  </si>
  <si>
    <t>GASTOS DE INVERSION</t>
  </si>
  <si>
    <t>PROGRAMA DE MOVILIDAD URBANA</t>
  </si>
  <si>
    <t>PLAN DE MOVILIDAD URBANA SOSTENIBLE</t>
  </si>
  <si>
    <t>SISTEMA INTEGRAL DE CONTROL DE TRAFICO Y PASIVO DE VIGENCIAS ANTERIORES</t>
  </si>
  <si>
    <t>EQUIPAMENTO URBANO Y LOGISTICO PARA EL TRANSPORTE</t>
  </si>
  <si>
    <t>CULTURA DE LA MOVILIDAD SEGURA</t>
  </si>
  <si>
    <t>FORTALECIMIENTO INSTITUCIONAL DE LA ITTB</t>
  </si>
  <si>
    <t>TOTAL GASTOS DE INVERSION</t>
  </si>
  <si>
    <t>TOTAL PRESUPUESTO 2019</t>
  </si>
  <si>
    <t>TRASLADOS PRESUPUETALES</t>
  </si>
  <si>
    <t>ADICION</t>
  </si>
  <si>
    <t>COMPROMETIDO ENERO</t>
  </si>
  <si>
    <t>CREDITOS</t>
  </si>
  <si>
    <t>CONTRACREDITOS</t>
  </si>
  <si>
    <t xml:space="preserve"> PRESUPUESTO 
AJUSTADO 2019</t>
  </si>
  <si>
    <t>RECAUDO FEBRERO 2019</t>
  </si>
  <si>
    <t>COMPROMETIDO FEBRERO</t>
  </si>
  <si>
    <t xml:space="preserve">COMPROMETIDO MARZO </t>
  </si>
  <si>
    <t>RECAUDO MARZO 2019</t>
  </si>
  <si>
    <t>COMPROMETIDO ABRIL</t>
  </si>
  <si>
    <t>RECAUDO ABRIL 2019</t>
  </si>
  <si>
    <t>Recuperacion cartera  Intereses</t>
  </si>
  <si>
    <t>PREUPUESTO MENSUAL</t>
  </si>
  <si>
    <t>FEBRERO DEFICIT PRESUPUESTAL</t>
  </si>
  <si>
    <t>MARZO DEFICIT PRESUPUESTAL</t>
  </si>
  <si>
    <t>ENERO DEFICIT PRESUPUESTAL</t>
  </si>
  <si>
    <t>ABRIL DEFICIT PRESUPUESTAL</t>
  </si>
  <si>
    <t>RECAUDO MAYO 2019</t>
  </si>
  <si>
    <t>COMPROMETIDO MAYO</t>
  </si>
  <si>
    <t>CONCEPTO</t>
  </si>
  <si>
    <t>ENERO</t>
  </si>
  <si>
    <t>FEBRERO</t>
  </si>
  <si>
    <t>MARZO</t>
  </si>
  <si>
    <t>ABRIL</t>
  </si>
  <si>
    <t>MAYO</t>
  </si>
  <si>
    <t>PPTO</t>
  </si>
  <si>
    <t>RECAUDO</t>
  </si>
  <si>
    <t>MAYO DEFICIT PRESUPUESTAL</t>
  </si>
  <si>
    <t>DEFICIT PRESUPUESTAL DE ENERO A MAYO</t>
  </si>
  <si>
    <t>COMPORTAMIENTO DE LOS INGRESOS DE ENERO A MAYO 2019</t>
  </si>
  <si>
    <t>PROMEDIO MENSUAL DE GASTOS DE FUNCIONAMIENTO</t>
  </si>
  <si>
    <t>VALOR</t>
  </si>
  <si>
    <t>SUEDO PENSIONADO</t>
  </si>
  <si>
    <t>PRIMA DE SERVICIO</t>
  </si>
  <si>
    <t>VACACIONES</t>
  </si>
  <si>
    <t>TRANSPORTE</t>
  </si>
  <si>
    <t>BONIFICACION POR SERVICIOS PRESTADOS</t>
  </si>
  <si>
    <t>BONIFIACION POR RECREACION</t>
  </si>
  <si>
    <t>SERVICIO DE VIGILANCIA (CHAVA-SEDE)</t>
  </si>
  <si>
    <t>O.P.S CONTROL INTERNO DISCIPLINARIO</t>
  </si>
  <si>
    <t xml:space="preserve">APORTES PARAFISCALES </t>
  </si>
  <si>
    <t>APORTES SEGURIDAD SOCIAL</t>
  </si>
  <si>
    <t>COMBUSTIBLES Y LUBRICANTES</t>
  </si>
  <si>
    <t xml:space="preserve">ASEO Y CAFETERIA </t>
  </si>
  <si>
    <t>PAPELERIA</t>
  </si>
  <si>
    <t>SERVICIO DE ENERGIA SEMAFOROS</t>
  </si>
  <si>
    <t>SERVICIO DE ENERGIA</t>
  </si>
  <si>
    <t>SERVICIO DE AGUA</t>
  </si>
  <si>
    <t>SERVICIO DE TELEFONO E INTERNET</t>
  </si>
  <si>
    <t>SERVICIO DE AVANTEL</t>
  </si>
  <si>
    <t>ARRENDAMIENTO GUARDIA</t>
  </si>
  <si>
    <t>ARRENDAMIENTO CHAVA</t>
  </si>
  <si>
    <t>ARRENDAMIENTO ARCHIVO</t>
  </si>
  <si>
    <t>SERVICIO DE ENERGIA SEMAFORO</t>
  </si>
  <si>
    <t>SEGUROS (SOAT)</t>
  </si>
  <si>
    <t>SUELDO PERSONAL TEMPORAL Y SUPERNUMEARIO</t>
  </si>
  <si>
    <t>TOTAL</t>
  </si>
  <si>
    <t>MANTENIMIENTOS (AIRES-VEHICULOS)</t>
  </si>
  <si>
    <t>COMPROMETIDO JUNIO</t>
  </si>
  <si>
    <t>RECAUDO JUNIO 2019</t>
  </si>
  <si>
    <t>RECAUDO JULIO 2019</t>
  </si>
  <si>
    <t>COMPROMETIDO JULIO</t>
  </si>
  <si>
    <t>RECAUDO AGOSTO 2019</t>
  </si>
  <si>
    <t>COMPROMETIDO AGOSTO</t>
  </si>
  <si>
    <t>RECAUDO SEPTIEMBRE 2019</t>
  </si>
  <si>
    <t>RECAUDO                      ENERO-SEPTIEMBRE</t>
  </si>
  <si>
    <t>RECAUDO PROMEDIO MENSUAL DE ENERO A MAYO</t>
  </si>
  <si>
    <t>RECAUDO PROMEDIO MENSUAL DE JUNIO A SEPTIEMBRE</t>
  </si>
  <si>
    <t>INCREMENTO PROMEDIO MENSUAL (Ley de financiamiento)</t>
  </si>
  <si>
    <t>COMPROMETIDO SEPTIEMBRE</t>
  </si>
  <si>
    <t>COMPROMETIDO OCTUBRE</t>
  </si>
  <si>
    <t>RECAUDO OCTUBRE 2019</t>
  </si>
  <si>
    <t>EJECUCION PRESUPUSTAL DE INGRESOS PERIODO ENERO - OCTUBRE DE 2019</t>
  </si>
  <si>
    <t>INSPECCION DE TRANSITO Y TRANSPORTE DE BARRANCABERMEJA</t>
  </si>
  <si>
    <t>RECAUDO NOVIEMBRE 2019</t>
  </si>
  <si>
    <t>COMPROMETIDO NOVIEMBRE</t>
  </si>
  <si>
    <t>COMPROMETIDO DICIEMBRE</t>
  </si>
  <si>
    <t>COMPROMETIDO ENERO-DICIEMBRE</t>
  </si>
  <si>
    <t>RECAUDO DICIEMBRE 2019</t>
  </si>
  <si>
    <t>RECAUDO                      ENERO-DICIEMBRE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</si>
</sst>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&quot;$&quot;\ #,##0.00"/>
    <numFmt numFmtId="165" formatCode="_(* #,##0_);_(* \(#,##0\);_(* &quot;-&quot;??_);_(@_)"/>
    <numFmt numFmtId="166" formatCode="&quot;$&quot;\ #,##0"/>
  </numFmts>
  <fonts count="34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8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1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2"/>
      <color rgb="FFFFFFFF"/>
      <name val="Calibri"/>
      <family val="2"/>
    </font>
    <font>
      <b/>
      <sz val="9"/>
      <color rgb="FFFFFFFF"/>
      <name val="Arial"/>
      <family val="2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name val="Arial Narrow"/>
      <family val="2"/>
    </font>
    <font>
      <sz val="8"/>
      <color theme="1"/>
      <name val="Arial Narrow"/>
      <family val="2"/>
    </font>
    <font>
      <sz val="14"/>
      <color theme="1"/>
      <name val="Calibri"/>
      <family val="2"/>
      <scheme val="minor"/>
    </font>
    <font>
      <sz val="8"/>
      <color theme="1"/>
      <name val="Arial Black"/>
      <family val="2"/>
    </font>
    <font>
      <sz val="11"/>
      <color theme="1"/>
      <name val="Arial Black"/>
      <family val="2"/>
    </font>
    <font>
      <b/>
      <sz val="11"/>
      <color theme="1"/>
      <name val="Arial Narrow"/>
      <family val="2"/>
    </font>
    <font>
      <sz val="12"/>
      <color theme="1"/>
      <name val="Calibri"/>
      <family val="2"/>
      <scheme val="minor"/>
    </font>
    <font>
      <sz val="12"/>
      <color theme="1"/>
      <name val="Aharoni"/>
      <charset val="177"/>
    </font>
    <font>
      <sz val="11"/>
      <color theme="1"/>
      <name val="Estrangelo Edessa"/>
      <family val="4"/>
    </font>
    <font>
      <sz val="12"/>
      <color theme="1"/>
      <name val="Arial Black"/>
      <family val="2"/>
    </font>
    <font>
      <b/>
      <sz val="12"/>
      <color theme="1"/>
      <name val="Arial Black"/>
      <family val="2"/>
    </font>
    <font>
      <b/>
      <sz val="8"/>
      <color theme="1"/>
      <name val="Arial Narrow"/>
      <family val="2"/>
    </font>
    <font>
      <b/>
      <sz val="9"/>
      <color theme="0"/>
      <name val="Arial"/>
      <family val="2"/>
    </font>
    <font>
      <sz val="11"/>
      <color theme="0"/>
      <name val="Calibri"/>
      <family val="2"/>
    </font>
    <font>
      <b/>
      <sz val="14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1"/>
      <name val="Bookman Old Style"/>
      <family val="1"/>
    </font>
    <font>
      <sz val="14"/>
      <color theme="1"/>
      <name val="David"/>
      <family val="2"/>
      <charset val="177"/>
    </font>
    <font>
      <sz val="10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262626"/>
        <bgColor rgb="FF000000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78A2"/>
        <bgColor rgb="FF000000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43" fontId="10" fillId="0" borderId="0" applyFont="0" applyFill="0" applyBorder="0" applyAlignment="0" applyProtection="0"/>
  </cellStyleXfs>
  <cellXfs count="89">
    <xf numFmtId="0" fontId="0" fillId="0" borderId="0" xfId="0"/>
    <xf numFmtId="0" fontId="1" fillId="0" borderId="3" xfId="0" applyFont="1" applyFill="1" applyBorder="1"/>
    <xf numFmtId="0" fontId="2" fillId="0" borderId="3" xfId="0" applyFont="1" applyFill="1" applyBorder="1" applyAlignment="1">
      <alignment horizontal="left"/>
    </xf>
    <xf numFmtId="164" fontId="3" fillId="0" borderId="3" xfId="0" applyNumberFormat="1" applyFont="1" applyFill="1" applyBorder="1"/>
    <xf numFmtId="0" fontId="1" fillId="0" borderId="3" xfId="0" applyFont="1" applyFill="1" applyBorder="1" applyAlignment="1">
      <alignment horizontal="right"/>
    </xf>
    <xf numFmtId="0" fontId="1" fillId="0" borderId="3" xfId="0" applyFont="1" applyFill="1" applyBorder="1" applyAlignment="1">
      <alignment horizontal="left"/>
    </xf>
    <xf numFmtId="164" fontId="4" fillId="0" borderId="3" xfId="0" applyNumberFormat="1" applyFont="1" applyFill="1" applyBorder="1"/>
    <xf numFmtId="0" fontId="5" fillId="0" borderId="3" xfId="0" applyFont="1" applyFill="1" applyBorder="1" applyAlignment="1">
      <alignment horizontal="left"/>
    </xf>
    <xf numFmtId="164" fontId="6" fillId="0" borderId="3" xfId="0" applyNumberFormat="1" applyFont="1" applyFill="1" applyBorder="1"/>
    <xf numFmtId="164" fontId="7" fillId="0" borderId="3" xfId="0" applyNumberFormat="1" applyFont="1" applyFill="1" applyBorder="1"/>
    <xf numFmtId="164" fontId="9" fillId="2" borderId="3" xfId="0" applyNumberFormat="1" applyFont="1" applyFill="1" applyBorder="1"/>
    <xf numFmtId="0" fontId="0" fillId="0" borderId="3" xfId="0" applyBorder="1"/>
    <xf numFmtId="164" fontId="0" fillId="0" borderId="3" xfId="0" applyNumberFormat="1" applyBorder="1"/>
    <xf numFmtId="165" fontId="11" fillId="0" borderId="3" xfId="0" applyNumberFormat="1" applyFont="1" applyBorder="1"/>
    <xf numFmtId="0" fontId="0" fillId="0" borderId="3" xfId="0" applyFont="1" applyBorder="1"/>
    <xf numFmtId="0" fontId="15" fillId="0" borderId="3" xfId="0" applyFont="1" applyBorder="1"/>
    <xf numFmtId="0" fontId="16" fillId="0" borderId="3" xfId="0" applyFont="1" applyBorder="1"/>
    <xf numFmtId="0" fontId="17" fillId="0" borderId="3" xfId="0" applyFont="1" applyBorder="1"/>
    <xf numFmtId="0" fontId="18" fillId="0" borderId="0" xfId="0" applyFont="1"/>
    <xf numFmtId="0" fontId="18" fillId="0" borderId="3" xfId="0" applyFont="1" applyBorder="1"/>
    <xf numFmtId="165" fontId="18" fillId="0" borderId="3" xfId="1" applyNumberFormat="1" applyFont="1" applyBorder="1"/>
    <xf numFmtId="0" fontId="14" fillId="0" borderId="3" xfId="0" applyFont="1" applyBorder="1"/>
    <xf numFmtId="0" fontId="0" fillId="4" borderId="3" xfId="0" applyFont="1" applyFill="1" applyBorder="1"/>
    <xf numFmtId="165" fontId="0" fillId="4" borderId="3" xfId="0" applyNumberFormat="1" applyFill="1" applyBorder="1"/>
    <xf numFmtId="165" fontId="0" fillId="0" borderId="3" xfId="0" applyNumberFormat="1" applyBorder="1"/>
    <xf numFmtId="165" fontId="18" fillId="0" borderId="0" xfId="1" applyNumberFormat="1" applyFont="1"/>
    <xf numFmtId="43" fontId="0" fillId="0" borderId="3" xfId="1" applyFont="1" applyBorder="1"/>
    <xf numFmtId="0" fontId="12" fillId="0" borderId="3" xfId="0" applyFont="1" applyBorder="1"/>
    <xf numFmtId="165" fontId="12" fillId="0" borderId="3" xfId="0" applyNumberFormat="1" applyFont="1" applyBorder="1"/>
    <xf numFmtId="165" fontId="12" fillId="0" borderId="3" xfId="1" applyNumberFormat="1" applyFont="1" applyBorder="1"/>
    <xf numFmtId="0" fontId="19" fillId="0" borderId="3" xfId="0" applyFont="1" applyBorder="1"/>
    <xf numFmtId="0" fontId="20" fillId="0" borderId="3" xfId="0" applyFont="1" applyBorder="1"/>
    <xf numFmtId="43" fontId="12" fillId="0" borderId="3" xfId="1" applyFont="1" applyBorder="1"/>
    <xf numFmtId="0" fontId="21" fillId="0" borderId="3" xfId="0" applyFont="1" applyBorder="1"/>
    <xf numFmtId="165" fontId="23" fillId="0" borderId="3" xfId="0" applyNumberFormat="1" applyFont="1" applyBorder="1"/>
    <xf numFmtId="0" fontId="24" fillId="3" borderId="3" xfId="0" applyFont="1" applyFill="1" applyBorder="1" applyAlignment="1">
      <alignment horizontal="center" vertical="center" wrapText="1"/>
    </xf>
    <xf numFmtId="164" fontId="0" fillId="0" borderId="6" xfId="0" applyNumberFormat="1" applyFill="1" applyBorder="1"/>
    <xf numFmtId="165" fontId="18" fillId="0" borderId="4" xfId="1" applyNumberFormat="1" applyFont="1" applyBorder="1"/>
    <xf numFmtId="165" fontId="0" fillId="4" borderId="4" xfId="0" applyNumberFormat="1" applyFill="1" applyBorder="1"/>
    <xf numFmtId="165" fontId="12" fillId="0" borderId="4" xfId="0" applyNumberFormat="1" applyFont="1" applyBorder="1"/>
    <xf numFmtId="165" fontId="12" fillId="0" borderId="4" xfId="1" applyNumberFormat="1" applyFont="1" applyBorder="1"/>
    <xf numFmtId="165" fontId="11" fillId="0" borderId="4" xfId="0" applyNumberFormat="1" applyFont="1" applyBorder="1"/>
    <xf numFmtId="165" fontId="23" fillId="0" borderId="4" xfId="0" applyNumberFormat="1" applyFont="1" applyBorder="1"/>
    <xf numFmtId="164" fontId="0" fillId="0" borderId="0" xfId="0" applyNumberFormat="1"/>
    <xf numFmtId="164" fontId="3" fillId="4" borderId="3" xfId="0" applyNumberFormat="1" applyFont="1" applyFill="1" applyBorder="1"/>
    <xf numFmtId="0" fontId="27" fillId="0" borderId="0" xfId="0" applyFont="1"/>
    <xf numFmtId="164" fontId="27" fillId="0" borderId="0" xfId="0" applyNumberFormat="1" applyFont="1"/>
    <xf numFmtId="166" fontId="0" fillId="0" borderId="3" xfId="0" applyNumberFormat="1" applyBorder="1"/>
    <xf numFmtId="0" fontId="0" fillId="0" borderId="0" xfId="0" applyAlignment="1">
      <alignment horizontal="center"/>
    </xf>
    <xf numFmtId="0" fontId="30" fillId="0" borderId="3" xfId="0" applyFont="1" applyBorder="1" applyAlignment="1">
      <alignment horizontal="center"/>
    </xf>
    <xf numFmtId="0" fontId="0" fillId="0" borderId="0" xfId="0"/>
    <xf numFmtId="0" fontId="11" fillId="6" borderId="3" xfId="0" applyFont="1" applyFill="1" applyBorder="1" applyAlignment="1">
      <alignment horizontal="center"/>
    </xf>
    <xf numFmtId="0" fontId="0" fillId="0" borderId="3" xfId="0" applyBorder="1"/>
    <xf numFmtId="165" fontId="0" fillId="0" borderId="3" xfId="1" applyNumberFormat="1" applyFont="1" applyBorder="1"/>
    <xf numFmtId="165" fontId="27" fillId="0" borderId="3" xfId="0" applyNumberFormat="1" applyFont="1" applyBorder="1"/>
    <xf numFmtId="0" fontId="27" fillId="0" borderId="3" xfId="0" applyFont="1" applyFill="1" applyBorder="1"/>
    <xf numFmtId="165" fontId="0" fillId="0" borderId="0" xfId="1" applyNumberFormat="1" applyFont="1"/>
    <xf numFmtId="165" fontId="32" fillId="0" borderId="0" xfId="0" applyNumberFormat="1" applyFont="1"/>
    <xf numFmtId="0" fontId="32" fillId="0" borderId="0" xfId="0" applyFont="1"/>
    <xf numFmtId="165" fontId="0" fillId="4" borderId="0" xfId="0" applyNumberFormat="1" applyFill="1" applyBorder="1"/>
    <xf numFmtId="43" fontId="0" fillId="0" borderId="0" xfId="1" applyFont="1"/>
    <xf numFmtId="9" fontId="0" fillId="0" borderId="3" xfId="0" applyNumberFormat="1" applyBorder="1" applyAlignment="1">
      <alignment horizontal="center"/>
    </xf>
    <xf numFmtId="0" fontId="1" fillId="7" borderId="3" xfId="0" applyFont="1" applyFill="1" applyBorder="1"/>
    <xf numFmtId="0" fontId="2" fillId="7" borderId="3" xfId="0" applyFont="1" applyFill="1" applyBorder="1" applyAlignment="1">
      <alignment horizontal="left"/>
    </xf>
    <xf numFmtId="164" fontId="3" fillId="7" borderId="3" xfId="0" applyNumberFormat="1" applyFont="1" applyFill="1" applyBorder="1"/>
    <xf numFmtId="0" fontId="0" fillId="0" borderId="0" xfId="0" applyAlignment="1">
      <alignment vertical="center" wrapText="1"/>
    </xf>
    <xf numFmtId="165" fontId="0" fillId="0" borderId="0" xfId="0" applyNumberFormat="1"/>
    <xf numFmtId="164" fontId="3" fillId="0" borderId="0" xfId="0" applyNumberFormat="1" applyFont="1" applyFill="1" applyBorder="1"/>
    <xf numFmtId="0" fontId="0" fillId="0" borderId="0" xfId="0" applyBorder="1"/>
    <xf numFmtId="164" fontId="0" fillId="0" borderId="7" xfId="0" applyNumberFormat="1" applyFill="1" applyBorder="1"/>
    <xf numFmtId="0" fontId="8" fillId="2" borderId="4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/>
    </xf>
    <xf numFmtId="0" fontId="25" fillId="5" borderId="1" xfId="0" applyFont="1" applyFill="1" applyBorder="1" applyAlignment="1">
      <alignment horizontal="center" vertical="center" wrapText="1"/>
    </xf>
    <xf numFmtId="0" fontId="26" fillId="5" borderId="2" xfId="0" applyFont="1" applyFill="1" applyBorder="1" applyAlignment="1">
      <alignment horizontal="center" vertical="center" wrapText="1"/>
    </xf>
    <xf numFmtId="0" fontId="33" fillId="0" borderId="0" xfId="0" applyFont="1" applyAlignment="1">
      <alignment horizontal="center"/>
    </xf>
    <xf numFmtId="0" fontId="13" fillId="3" borderId="1" xfId="0" applyFont="1" applyFill="1" applyBorder="1" applyAlignment="1">
      <alignment horizontal="center" vertical="center" wrapText="1"/>
    </xf>
    <xf numFmtId="0" fontId="13" fillId="3" borderId="2" xfId="0" applyFont="1" applyFill="1" applyBorder="1" applyAlignment="1">
      <alignment horizontal="center" vertical="center" wrapText="1"/>
    </xf>
    <xf numFmtId="0" fontId="14" fillId="3" borderId="2" xfId="0" applyFont="1" applyFill="1" applyBorder="1" applyAlignment="1">
      <alignment horizontal="center" vertical="center" wrapText="1"/>
    </xf>
    <xf numFmtId="0" fontId="22" fillId="0" borderId="3" xfId="0" applyFont="1" applyBorder="1" applyAlignment="1">
      <alignment horizontal="center"/>
    </xf>
    <xf numFmtId="0" fontId="13" fillId="3" borderId="4" xfId="0" applyFont="1" applyFill="1" applyBorder="1" applyAlignment="1">
      <alignment horizontal="center" vertical="center" wrapText="1"/>
    </xf>
    <xf numFmtId="0" fontId="13" fillId="3" borderId="5" xfId="0" applyFont="1" applyFill="1" applyBorder="1" applyAlignment="1">
      <alignment horizontal="center" vertical="center" wrapText="1"/>
    </xf>
    <xf numFmtId="0" fontId="1" fillId="8" borderId="4" xfId="0" applyFont="1" applyFill="1" applyBorder="1" applyAlignment="1">
      <alignment horizontal="center"/>
    </xf>
    <xf numFmtId="0" fontId="1" fillId="8" borderId="5" xfId="0" applyFont="1" applyFill="1" applyBorder="1" applyAlignment="1">
      <alignment horizontal="center"/>
    </xf>
    <xf numFmtId="0" fontId="11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31" fillId="0" borderId="0" xfId="0" applyFont="1" applyAlignment="1">
      <alignment horizontal="center"/>
    </xf>
    <xf numFmtId="0" fontId="11" fillId="6" borderId="3" xfId="0" applyFont="1" applyFill="1" applyBorder="1" applyAlignment="1">
      <alignment horizontal="center"/>
    </xf>
    <xf numFmtId="165" fontId="12" fillId="4" borderId="3" xfId="0" applyNumberFormat="1" applyFont="1" applyFill="1" applyBorder="1"/>
    <xf numFmtId="165" fontId="12" fillId="4" borderId="3" xfId="1" applyNumberFormat="1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mruColors>
      <color rgb="FF0078A2"/>
      <color rgb="FF20822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Y123"/>
  <sheetViews>
    <sheetView topLeftCell="J49" zoomScaleNormal="100" workbookViewId="0">
      <selection activeCell="R68" sqref="R68"/>
    </sheetView>
  </sheetViews>
  <sheetFormatPr baseColWidth="10" defaultRowHeight="15" x14ac:dyDescent="0.25"/>
  <cols>
    <col min="1" max="1" width="8.140625" customWidth="1"/>
    <col min="2" max="2" width="43.140625" customWidth="1"/>
    <col min="3" max="3" width="17.28515625" bestFit="1" customWidth="1"/>
    <col min="4" max="4" width="17.28515625" customWidth="1"/>
    <col min="5" max="5" width="19.28515625" customWidth="1"/>
    <col min="6" max="6" width="24.140625" customWidth="1"/>
    <col min="7" max="7" width="26.28515625" customWidth="1"/>
    <col min="8" max="8" width="24.5703125" customWidth="1"/>
    <col min="9" max="10" width="23.42578125" customWidth="1"/>
    <col min="11" max="11" width="23.5703125" style="50" customWidth="1"/>
    <col min="12" max="12" width="23.42578125" style="50" customWidth="1"/>
    <col min="13" max="13" width="27.7109375" style="50" customWidth="1"/>
    <col min="14" max="14" width="29.140625" style="50" customWidth="1"/>
    <col min="15" max="15" width="20.42578125" style="50" customWidth="1"/>
    <col min="16" max="17" width="20.7109375" style="50" customWidth="1"/>
    <col min="18" max="18" width="19" customWidth="1"/>
    <col min="19" max="19" width="13.140625" bestFit="1" customWidth="1"/>
    <col min="20" max="20" width="16.85546875" hidden="1" customWidth="1"/>
    <col min="21" max="21" width="24.5703125" customWidth="1"/>
    <col min="22" max="22" width="18.42578125" customWidth="1"/>
    <col min="23" max="23" width="16.42578125" customWidth="1"/>
  </cols>
  <sheetData>
    <row r="1" spans="1:21" s="50" customFormat="1" ht="15.75" x14ac:dyDescent="0.25">
      <c r="B1" s="74" t="s">
        <v>305</v>
      </c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</row>
    <row r="2" spans="1:21" s="50" customFormat="1" ht="15.75" x14ac:dyDescent="0.25">
      <c r="B2" s="74" t="s">
        <v>304</v>
      </c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</row>
    <row r="3" spans="1:21" s="50" customFormat="1" x14ac:dyDescent="0.25"/>
    <row r="4" spans="1:21" ht="15" customHeight="1" x14ac:dyDescent="0.25">
      <c r="A4" s="72" t="s">
        <v>0</v>
      </c>
      <c r="B4" s="72" t="s">
        <v>1</v>
      </c>
      <c r="C4" s="72" t="s">
        <v>2</v>
      </c>
      <c r="D4" s="72" t="s">
        <v>153</v>
      </c>
      <c r="E4" s="72" t="s">
        <v>154</v>
      </c>
      <c r="F4" s="72" t="s">
        <v>155</v>
      </c>
      <c r="G4" s="72" t="s">
        <v>237</v>
      </c>
      <c r="H4" s="72" t="s">
        <v>240</v>
      </c>
      <c r="I4" s="72" t="s">
        <v>242</v>
      </c>
      <c r="J4" s="72" t="s">
        <v>249</v>
      </c>
      <c r="K4" s="72" t="s">
        <v>291</v>
      </c>
      <c r="L4" s="72" t="s">
        <v>292</v>
      </c>
      <c r="M4" s="72" t="s">
        <v>294</v>
      </c>
      <c r="N4" s="72" t="s">
        <v>296</v>
      </c>
      <c r="O4" s="72" t="s">
        <v>303</v>
      </c>
      <c r="P4" s="72" t="s">
        <v>306</v>
      </c>
      <c r="Q4" s="72" t="s">
        <v>310</v>
      </c>
      <c r="R4" s="72" t="s">
        <v>311</v>
      </c>
    </row>
    <row r="5" spans="1:21" x14ac:dyDescent="0.25">
      <c r="A5" s="73"/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</row>
    <row r="6" spans="1:21" x14ac:dyDescent="0.25">
      <c r="A6" s="1">
        <v>1.1000000000000001</v>
      </c>
      <c r="B6" s="2" t="s">
        <v>3</v>
      </c>
      <c r="C6" s="3">
        <f>C7</f>
        <v>1500000000</v>
      </c>
      <c r="D6" s="11"/>
      <c r="E6" s="3">
        <f t="shared" ref="E6:R6" si="0">E7</f>
        <v>1500000000</v>
      </c>
      <c r="F6" s="3">
        <f t="shared" si="0"/>
        <v>60618332</v>
      </c>
      <c r="G6" s="3">
        <f t="shared" si="0"/>
        <v>185917654</v>
      </c>
      <c r="H6" s="3">
        <f t="shared" si="0"/>
        <v>196271148</v>
      </c>
      <c r="I6" s="3">
        <f t="shared" si="0"/>
        <v>265978699</v>
      </c>
      <c r="J6" s="3">
        <f t="shared" si="0"/>
        <v>202442372</v>
      </c>
      <c r="K6" s="3">
        <f t="shared" si="0"/>
        <v>201180718</v>
      </c>
      <c r="L6" s="3">
        <f t="shared" si="0"/>
        <v>261710289</v>
      </c>
      <c r="M6" s="3">
        <f t="shared" si="0"/>
        <v>68277072</v>
      </c>
      <c r="N6" s="3">
        <f t="shared" si="0"/>
        <v>64895265</v>
      </c>
      <c r="O6" s="3">
        <f t="shared" si="0"/>
        <v>49025973</v>
      </c>
      <c r="P6" s="3">
        <f t="shared" si="0"/>
        <v>95705420</v>
      </c>
      <c r="Q6" s="3">
        <f t="shared" si="0"/>
        <v>62250719</v>
      </c>
      <c r="R6" s="3">
        <f t="shared" si="0"/>
        <v>1714273661</v>
      </c>
      <c r="T6" s="43"/>
    </row>
    <row r="7" spans="1:21" x14ac:dyDescent="0.25">
      <c r="A7" s="4" t="s">
        <v>4</v>
      </c>
      <c r="B7" s="5" t="s">
        <v>5</v>
      </c>
      <c r="C7" s="6">
        <v>1500000000</v>
      </c>
      <c r="D7" s="11"/>
      <c r="E7" s="12">
        <f>C7+D7</f>
        <v>1500000000</v>
      </c>
      <c r="F7" s="12">
        <v>60618332</v>
      </c>
      <c r="G7" s="12">
        <v>185917654</v>
      </c>
      <c r="H7" s="12">
        <v>196271148</v>
      </c>
      <c r="I7" s="12">
        <v>265978699</v>
      </c>
      <c r="J7" s="12">
        <v>202442372</v>
      </c>
      <c r="K7" s="12">
        <v>201180718</v>
      </c>
      <c r="L7" s="12">
        <v>261710289</v>
      </c>
      <c r="M7" s="12">
        <v>68277072</v>
      </c>
      <c r="N7" s="12">
        <v>64895265</v>
      </c>
      <c r="O7" s="12">
        <v>49025973</v>
      </c>
      <c r="P7" s="12">
        <v>95705420</v>
      </c>
      <c r="Q7" s="12">
        <f>47056350+15194369</f>
        <v>62250719</v>
      </c>
      <c r="R7" s="12">
        <f>F7+G7+H7+I7+J7+K7+L7+M7+N7+O7+P7+Q7</f>
        <v>1714273661</v>
      </c>
    </row>
    <row r="8" spans="1:21" x14ac:dyDescent="0.25">
      <c r="A8" s="1">
        <v>1.2</v>
      </c>
      <c r="B8" s="2" t="s">
        <v>6</v>
      </c>
      <c r="C8" s="3">
        <f>SUM(C9:C72)</f>
        <v>7000000000</v>
      </c>
      <c r="D8" s="11"/>
      <c r="E8" s="3">
        <f t="shared" ref="E8:R8" si="1">SUM(E9:E72)</f>
        <v>7000000000</v>
      </c>
      <c r="F8" s="3">
        <f t="shared" si="1"/>
        <v>231291399</v>
      </c>
      <c r="G8" s="3">
        <f t="shared" si="1"/>
        <v>216439341</v>
      </c>
      <c r="H8" s="3">
        <f t="shared" si="1"/>
        <v>215821337</v>
      </c>
      <c r="I8" s="44">
        <f t="shared" si="1"/>
        <v>235642594</v>
      </c>
      <c r="J8" s="44">
        <f t="shared" si="1"/>
        <v>276500869</v>
      </c>
      <c r="K8" s="44">
        <f t="shared" si="1"/>
        <v>318332101</v>
      </c>
      <c r="L8" s="44">
        <f t="shared" si="1"/>
        <v>390459092</v>
      </c>
      <c r="M8" s="44">
        <f t="shared" si="1"/>
        <v>219510737</v>
      </c>
      <c r="N8" s="44">
        <f t="shared" si="1"/>
        <v>180225086</v>
      </c>
      <c r="O8" s="44">
        <f t="shared" si="1"/>
        <v>213519301</v>
      </c>
      <c r="P8" s="44">
        <f t="shared" si="1"/>
        <v>182546072</v>
      </c>
      <c r="Q8" s="44">
        <f t="shared" si="1"/>
        <v>372953361</v>
      </c>
      <c r="R8" s="3">
        <f t="shared" si="1"/>
        <v>3053241290</v>
      </c>
      <c r="U8" s="43"/>
    </row>
    <row r="9" spans="1:21" x14ac:dyDescent="0.25">
      <c r="A9" s="4" t="s">
        <v>7</v>
      </c>
      <c r="B9" s="5" t="s">
        <v>8</v>
      </c>
      <c r="C9" s="6">
        <v>2619290000</v>
      </c>
      <c r="D9" s="11"/>
      <c r="E9" s="12">
        <f t="shared" ref="E9:E72" si="2">C9+D9</f>
        <v>2619290000</v>
      </c>
      <c r="F9" s="12">
        <v>33658974</v>
      </c>
      <c r="G9" s="12">
        <v>42562874</v>
      </c>
      <c r="H9" s="12">
        <v>41466877</v>
      </c>
      <c r="I9" s="12">
        <v>55748947</v>
      </c>
      <c r="J9" s="12">
        <v>64155073</v>
      </c>
      <c r="K9" s="12">
        <f>61817128+505210</f>
        <v>62322338</v>
      </c>
      <c r="L9" s="12">
        <v>69419317</v>
      </c>
      <c r="M9" s="12">
        <v>49295760</v>
      </c>
      <c r="N9" s="12">
        <v>31712863</v>
      </c>
      <c r="O9" s="12">
        <f>33906350+1452</f>
        <v>33907802</v>
      </c>
      <c r="P9" s="12">
        <v>23047419</v>
      </c>
      <c r="Q9" s="12">
        <v>26718372</v>
      </c>
      <c r="R9" s="12">
        <f t="shared" ref="R9:R72" si="3">F9+G9+H9+I9+J9+K9+L9+M9+N9+O9+P9+Q9</f>
        <v>534016616</v>
      </c>
    </row>
    <row r="10" spans="1:21" x14ac:dyDescent="0.25">
      <c r="A10" s="4" t="s">
        <v>9</v>
      </c>
      <c r="B10" s="5" t="s">
        <v>10</v>
      </c>
      <c r="C10" s="6">
        <v>500000000</v>
      </c>
      <c r="D10" s="11"/>
      <c r="E10" s="12">
        <f t="shared" si="2"/>
        <v>500000000</v>
      </c>
      <c r="F10" s="12">
        <v>48358434</v>
      </c>
      <c r="G10" s="12">
        <v>34799224</v>
      </c>
      <c r="H10" s="12">
        <v>41284531</v>
      </c>
      <c r="I10" s="12">
        <f>43907705+19977</f>
        <v>43927682</v>
      </c>
      <c r="J10" s="12">
        <v>40888222</v>
      </c>
      <c r="K10" s="12">
        <v>46081809</v>
      </c>
      <c r="L10" s="12">
        <v>96685098</v>
      </c>
      <c r="M10" s="12"/>
      <c r="N10" s="12"/>
      <c r="O10" s="12">
        <v>0</v>
      </c>
      <c r="P10" s="12">
        <v>0</v>
      </c>
      <c r="Q10" s="12">
        <v>0</v>
      </c>
      <c r="R10" s="12">
        <f t="shared" si="3"/>
        <v>352025000</v>
      </c>
    </row>
    <row r="11" spans="1:21" x14ac:dyDescent="0.25">
      <c r="A11" s="4" t="s">
        <v>11</v>
      </c>
      <c r="B11" s="5" t="s">
        <v>12</v>
      </c>
      <c r="C11" s="6">
        <v>600000000</v>
      </c>
      <c r="D11" s="11"/>
      <c r="E11" s="12">
        <f t="shared" si="2"/>
        <v>600000000</v>
      </c>
      <c r="F11" s="12">
        <f>36275193+1635891</f>
        <v>37911084</v>
      </c>
      <c r="G11" s="12">
        <f>19724872+30406037</f>
        <v>50130909</v>
      </c>
      <c r="H11" s="12">
        <f>20270648+1545840+24018489</f>
        <v>45834977</v>
      </c>
      <c r="I11" s="12">
        <f>20908663+23613800+541044</f>
        <v>45063507</v>
      </c>
      <c r="J11" s="12">
        <f>18411290+28677520+1236672+18636896+30914</f>
        <v>66993292</v>
      </c>
      <c r="K11" s="12">
        <f>20124816+23232810+4173768+1512+61783438</f>
        <v>109316344</v>
      </c>
      <c r="L11" s="12">
        <v>103852048</v>
      </c>
      <c r="M11" s="12">
        <f>29294762+228491+17609214</f>
        <v>47132467</v>
      </c>
      <c r="N11" s="12">
        <f>33496428</f>
        <v>33496428</v>
      </c>
      <c r="O11" s="12">
        <v>57243274</v>
      </c>
      <c r="P11" s="12">
        <v>47012694</v>
      </c>
      <c r="Q11" s="12">
        <v>46826414</v>
      </c>
      <c r="R11" s="12">
        <f t="shared" si="3"/>
        <v>690813438</v>
      </c>
    </row>
    <row r="12" spans="1:21" x14ac:dyDescent="0.25">
      <c r="A12" s="4" t="s">
        <v>13</v>
      </c>
      <c r="B12" s="5" t="s">
        <v>14</v>
      </c>
      <c r="C12" s="6">
        <v>365000000</v>
      </c>
      <c r="D12" s="11"/>
      <c r="E12" s="12">
        <f t="shared" si="2"/>
        <v>365000000</v>
      </c>
      <c r="F12" s="12">
        <v>7844211</v>
      </c>
      <c r="G12" s="12">
        <v>6030852</v>
      </c>
      <c r="H12" s="12">
        <v>6395196</v>
      </c>
      <c r="I12" s="12">
        <v>6500664</v>
      </c>
      <c r="J12" s="12">
        <v>7211262</v>
      </c>
      <c r="K12" s="12">
        <v>6215739</v>
      </c>
      <c r="L12" s="12">
        <v>7986804</v>
      </c>
      <c r="M12" s="12">
        <v>7248528</v>
      </c>
      <c r="N12" s="12">
        <v>7545756</v>
      </c>
      <c r="O12" s="12">
        <v>7277292</v>
      </c>
      <c r="P12" s="12">
        <v>5954148</v>
      </c>
      <c r="Q12" s="12">
        <v>7555344</v>
      </c>
      <c r="R12" s="12">
        <f t="shared" si="3"/>
        <v>83765796</v>
      </c>
    </row>
    <row r="13" spans="1:21" x14ac:dyDescent="0.25">
      <c r="A13" s="4" t="s">
        <v>15</v>
      </c>
      <c r="B13" s="5" t="s">
        <v>16</v>
      </c>
      <c r="C13" s="6">
        <v>100000</v>
      </c>
      <c r="D13" s="11"/>
      <c r="E13" s="12">
        <f t="shared" si="2"/>
        <v>100000</v>
      </c>
      <c r="F13" s="12">
        <v>0</v>
      </c>
      <c r="G13" s="12">
        <v>0</v>
      </c>
      <c r="H13" s="12">
        <v>0</v>
      </c>
      <c r="I13" s="12">
        <v>0</v>
      </c>
      <c r="J13" s="12">
        <v>0</v>
      </c>
      <c r="K13" s="12">
        <v>0</v>
      </c>
      <c r="L13" s="12"/>
      <c r="M13" s="12"/>
      <c r="N13" s="12"/>
      <c r="O13" s="12"/>
      <c r="P13" s="12">
        <v>0</v>
      </c>
      <c r="Q13" s="12">
        <v>0</v>
      </c>
      <c r="R13" s="12">
        <f t="shared" si="3"/>
        <v>0</v>
      </c>
    </row>
    <row r="14" spans="1:21" x14ac:dyDescent="0.25">
      <c r="A14" s="4" t="s">
        <v>17</v>
      </c>
      <c r="B14" s="5" t="s">
        <v>18</v>
      </c>
      <c r="C14" s="6">
        <v>26000000</v>
      </c>
      <c r="D14" s="11"/>
      <c r="E14" s="12">
        <f t="shared" si="2"/>
        <v>26000000</v>
      </c>
      <c r="F14" s="12">
        <f>42803+679026</f>
        <v>721829</v>
      </c>
      <c r="G14" s="12">
        <v>582114</v>
      </c>
      <c r="H14" s="12">
        <v>804687</v>
      </c>
      <c r="I14" s="12">
        <f>42803+393783</f>
        <v>436586</v>
      </c>
      <c r="J14" s="12">
        <v>907413</v>
      </c>
      <c r="K14" s="12">
        <v>513630</v>
      </c>
      <c r="L14" s="12">
        <v>616356</v>
      </c>
      <c r="M14" s="12">
        <f>42803+616356</f>
        <v>659159</v>
      </c>
      <c r="N14" s="12">
        <v>462267</v>
      </c>
      <c r="O14" s="12">
        <v>462267</v>
      </c>
      <c r="P14" s="12">
        <v>547872</v>
      </c>
      <c r="Q14" s="12">
        <v>376662</v>
      </c>
      <c r="R14" s="12">
        <f t="shared" si="3"/>
        <v>7090842</v>
      </c>
    </row>
    <row r="15" spans="1:21" x14ac:dyDescent="0.25">
      <c r="A15" s="4" t="s">
        <v>19</v>
      </c>
      <c r="B15" s="5" t="s">
        <v>20</v>
      </c>
      <c r="C15" s="6">
        <v>38000000</v>
      </c>
      <c r="D15" s="11"/>
      <c r="E15" s="12">
        <f t="shared" si="2"/>
        <v>38000000</v>
      </c>
      <c r="F15" s="12">
        <v>900630</v>
      </c>
      <c r="G15" s="12">
        <v>856050</v>
      </c>
      <c r="H15" s="12">
        <v>958776</v>
      </c>
      <c r="I15" s="12">
        <v>684840</v>
      </c>
      <c r="J15" s="12">
        <v>1266954</v>
      </c>
      <c r="K15" s="12">
        <v>1027260</v>
      </c>
      <c r="L15" s="12">
        <v>958776</v>
      </c>
      <c r="M15" s="12">
        <v>975897</v>
      </c>
      <c r="N15" s="12">
        <v>1181349</v>
      </c>
      <c r="O15" s="12">
        <v>1061502</v>
      </c>
      <c r="P15" s="12">
        <v>856050</v>
      </c>
      <c r="Q15" s="12">
        <v>667719</v>
      </c>
      <c r="R15" s="12">
        <f t="shared" si="3"/>
        <v>11395803</v>
      </c>
    </row>
    <row r="16" spans="1:21" x14ac:dyDescent="0.25">
      <c r="A16" s="4" t="s">
        <v>21</v>
      </c>
      <c r="B16" s="5" t="s">
        <v>22</v>
      </c>
      <c r="C16" s="6">
        <v>95000000</v>
      </c>
      <c r="D16" s="11"/>
      <c r="E16" s="12">
        <f t="shared" si="2"/>
        <v>95000000</v>
      </c>
      <c r="F16" s="12">
        <v>6756276</v>
      </c>
      <c r="G16" s="12">
        <v>2242948</v>
      </c>
      <c r="H16" s="12">
        <v>5175761</v>
      </c>
      <c r="I16" s="12">
        <v>4913168</v>
      </c>
      <c r="J16" s="12">
        <v>7442363</v>
      </c>
      <c r="K16" s="12">
        <v>6831869</v>
      </c>
      <c r="L16" s="12">
        <v>9413879</v>
      </c>
      <c r="M16" s="12">
        <v>6988491</v>
      </c>
      <c r="N16" s="12">
        <v>6173948</v>
      </c>
      <c r="O16" s="12">
        <v>4986903</v>
      </c>
      <c r="P16" s="12">
        <v>5534076</v>
      </c>
      <c r="Q16" s="12">
        <v>4615131</v>
      </c>
      <c r="R16" s="12">
        <f t="shared" si="3"/>
        <v>71074813</v>
      </c>
    </row>
    <row r="17" spans="1:18" x14ac:dyDescent="0.25">
      <c r="A17" s="4" t="s">
        <v>23</v>
      </c>
      <c r="B17" s="5" t="s">
        <v>24</v>
      </c>
      <c r="C17" s="6">
        <v>82500000</v>
      </c>
      <c r="D17" s="11"/>
      <c r="E17" s="12">
        <f t="shared" si="2"/>
        <v>82500000</v>
      </c>
      <c r="F17" s="12">
        <v>12413289</v>
      </c>
      <c r="G17" s="12">
        <v>8332330</v>
      </c>
      <c r="H17" s="12">
        <v>4991156</v>
      </c>
      <c r="I17" s="12">
        <v>6119143</v>
      </c>
      <c r="J17" s="12">
        <v>7494029</v>
      </c>
      <c r="K17" s="12">
        <v>5190135</v>
      </c>
      <c r="L17" s="12">
        <v>12150441</v>
      </c>
      <c r="M17" s="12">
        <v>21151279</v>
      </c>
      <c r="N17" s="12">
        <v>10262856</v>
      </c>
      <c r="O17" s="12">
        <v>15499585</v>
      </c>
      <c r="P17" s="12">
        <v>10805539</v>
      </c>
      <c r="Q17" s="12">
        <v>11410413</v>
      </c>
      <c r="R17" s="12">
        <f t="shared" si="3"/>
        <v>125820195</v>
      </c>
    </row>
    <row r="18" spans="1:18" x14ac:dyDescent="0.25">
      <c r="A18" s="4" t="s">
        <v>25</v>
      </c>
      <c r="B18" s="5" t="s">
        <v>26</v>
      </c>
      <c r="C18" s="6">
        <v>38000000</v>
      </c>
      <c r="D18" s="11"/>
      <c r="E18" s="12">
        <f t="shared" si="2"/>
        <v>38000000</v>
      </c>
      <c r="F18" s="12">
        <v>8401140</v>
      </c>
      <c r="G18" s="12">
        <v>5278975</v>
      </c>
      <c r="H18" s="12">
        <v>5393115</v>
      </c>
      <c r="I18" s="12">
        <v>12327120</v>
      </c>
      <c r="J18" s="12">
        <v>9388015</v>
      </c>
      <c r="K18" s="12">
        <v>5878210</v>
      </c>
      <c r="L18" s="12">
        <v>5935280</v>
      </c>
      <c r="M18" s="12">
        <v>7162285</v>
      </c>
      <c r="N18" s="12">
        <v>14609920</v>
      </c>
      <c r="O18" s="12">
        <v>16379090</v>
      </c>
      <c r="P18" s="12">
        <v>11784955</v>
      </c>
      <c r="Q18" s="12">
        <v>4679740</v>
      </c>
      <c r="R18" s="12">
        <f t="shared" si="3"/>
        <v>107217845</v>
      </c>
    </row>
    <row r="19" spans="1:18" x14ac:dyDescent="0.25">
      <c r="A19" s="4" t="s">
        <v>27</v>
      </c>
      <c r="B19" s="5" t="s">
        <v>28</v>
      </c>
      <c r="C19" s="6">
        <v>5000000</v>
      </c>
      <c r="D19" s="11"/>
      <c r="E19" s="12">
        <f t="shared" si="2"/>
        <v>5000000</v>
      </c>
      <c r="F19" s="12">
        <v>168728</v>
      </c>
      <c r="G19" s="12">
        <v>421820</v>
      </c>
      <c r="H19" s="12">
        <v>253092</v>
      </c>
      <c r="I19" s="12">
        <v>168728</v>
      </c>
      <c r="J19" s="12">
        <v>253092</v>
      </c>
      <c r="K19" s="12">
        <v>168728</v>
      </c>
      <c r="L19" s="12"/>
      <c r="M19" s="12">
        <v>168728</v>
      </c>
      <c r="N19" s="12"/>
      <c r="O19" s="12">
        <v>84364</v>
      </c>
      <c r="P19" s="12">
        <v>84364</v>
      </c>
      <c r="Q19" s="12">
        <v>0</v>
      </c>
      <c r="R19" s="12">
        <f t="shared" si="3"/>
        <v>1771644</v>
      </c>
    </row>
    <row r="20" spans="1:18" x14ac:dyDescent="0.25">
      <c r="A20" s="4" t="s">
        <v>29</v>
      </c>
      <c r="B20" s="5" t="s">
        <v>30</v>
      </c>
      <c r="C20" s="6">
        <v>1000000</v>
      </c>
      <c r="D20" s="11"/>
      <c r="E20" s="12">
        <f t="shared" si="2"/>
        <v>1000000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/>
      <c r="M20" s="12"/>
      <c r="N20" s="12"/>
      <c r="O20" s="12"/>
      <c r="P20" s="12">
        <v>0</v>
      </c>
      <c r="Q20" s="12">
        <v>0</v>
      </c>
      <c r="R20" s="12">
        <f t="shared" si="3"/>
        <v>0</v>
      </c>
    </row>
    <row r="21" spans="1:18" x14ac:dyDescent="0.25">
      <c r="A21" s="4" t="s">
        <v>31</v>
      </c>
      <c r="B21" s="5" t="s">
        <v>32</v>
      </c>
      <c r="C21" s="6">
        <v>1000000</v>
      </c>
      <c r="D21" s="11"/>
      <c r="E21" s="12">
        <f t="shared" si="2"/>
        <v>1000000</v>
      </c>
      <c r="F21" s="12">
        <v>0</v>
      </c>
      <c r="G21" s="12">
        <v>0</v>
      </c>
      <c r="H21" s="12">
        <v>0</v>
      </c>
      <c r="I21" s="12">
        <v>0</v>
      </c>
      <c r="J21" s="12">
        <v>0</v>
      </c>
      <c r="K21" s="12">
        <v>0</v>
      </c>
      <c r="L21" s="12"/>
      <c r="M21" s="12"/>
      <c r="N21" s="12"/>
      <c r="O21" s="12"/>
      <c r="P21" s="12">
        <v>0</v>
      </c>
      <c r="Q21" s="12">
        <v>0</v>
      </c>
      <c r="R21" s="12">
        <f t="shared" si="3"/>
        <v>0</v>
      </c>
    </row>
    <row r="22" spans="1:18" x14ac:dyDescent="0.25">
      <c r="A22" s="4" t="s">
        <v>33</v>
      </c>
      <c r="B22" s="5" t="s">
        <v>34</v>
      </c>
      <c r="C22" s="6">
        <v>100000000</v>
      </c>
      <c r="D22" s="11"/>
      <c r="E22" s="12">
        <f t="shared" si="2"/>
        <v>100000000</v>
      </c>
      <c r="F22" s="12">
        <f>559122+487718+3602330</f>
        <v>4649170</v>
      </c>
      <c r="G22" s="12">
        <f>772668+724962</f>
        <v>1497630</v>
      </c>
      <c r="H22" s="12">
        <f>610630+540765+2940825</f>
        <v>4092220</v>
      </c>
      <c r="I22" s="12">
        <f>635994+830029+43511</f>
        <v>1509534</v>
      </c>
      <c r="J22" s="12">
        <f>754364+869897</f>
        <v>1624261</v>
      </c>
      <c r="K22" s="12">
        <f>1390082+600964+705546</f>
        <v>2696592</v>
      </c>
      <c r="L22" s="12">
        <f>937890+1233395+772668</f>
        <v>2943953</v>
      </c>
      <c r="M22" s="12">
        <f>21326+3422370+611738</f>
        <v>4055434</v>
      </c>
      <c r="N22" s="12">
        <f>702856+3611870+934487</f>
        <v>5249213</v>
      </c>
      <c r="O22" s="12">
        <f>1023260+1081530</f>
        <v>2104790</v>
      </c>
      <c r="P22" s="12">
        <f>530200+1786640</f>
        <v>2316840</v>
      </c>
      <c r="Q22" s="12">
        <f>779052+690491</f>
        <v>1469543</v>
      </c>
      <c r="R22" s="12">
        <f t="shared" si="3"/>
        <v>34209180</v>
      </c>
    </row>
    <row r="23" spans="1:18" x14ac:dyDescent="0.25">
      <c r="A23" s="4" t="s">
        <v>35</v>
      </c>
      <c r="B23" s="5" t="s">
        <v>36</v>
      </c>
      <c r="C23" s="6">
        <v>4000000</v>
      </c>
      <c r="D23" s="11"/>
      <c r="E23" s="12">
        <f t="shared" si="2"/>
        <v>4000000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/>
      <c r="M23" s="12"/>
      <c r="N23" s="12"/>
      <c r="O23" s="12"/>
      <c r="P23" s="12"/>
      <c r="Q23" s="12">
        <v>0</v>
      </c>
      <c r="R23" s="12">
        <f t="shared" si="3"/>
        <v>0</v>
      </c>
    </row>
    <row r="24" spans="1:18" x14ac:dyDescent="0.25">
      <c r="A24" s="4" t="s">
        <v>37</v>
      </c>
      <c r="B24" s="5" t="s">
        <v>38</v>
      </c>
      <c r="C24" s="6">
        <v>200000000</v>
      </c>
      <c r="D24" s="11"/>
      <c r="E24" s="12">
        <f t="shared" si="2"/>
        <v>200000000</v>
      </c>
      <c r="F24" s="12">
        <v>44021481</v>
      </c>
      <c r="G24" s="12">
        <v>31210029</v>
      </c>
      <c r="H24" s="12">
        <v>32155128</v>
      </c>
      <c r="I24" s="12">
        <f>30962731+3104967+44604</f>
        <v>34112302</v>
      </c>
      <c r="J24" s="12">
        <v>34054439</v>
      </c>
      <c r="K24" s="12">
        <f>31425640+2675955</f>
        <v>34101595</v>
      </c>
      <c r="L24" s="12">
        <f>39524109+3274775</f>
        <v>42798884</v>
      </c>
      <c r="M24" s="12">
        <v>43094434</v>
      </c>
      <c r="N24" s="12">
        <v>40587935</v>
      </c>
      <c r="O24" s="12">
        <v>35300743</v>
      </c>
      <c r="P24" s="12">
        <v>40881846</v>
      </c>
      <c r="Q24" s="12">
        <f>64876196-4808460</f>
        <v>60067736</v>
      </c>
      <c r="R24" s="12">
        <f t="shared" si="3"/>
        <v>472386552</v>
      </c>
    </row>
    <row r="25" spans="1:18" x14ac:dyDescent="0.25">
      <c r="A25" s="4" t="s">
        <v>39</v>
      </c>
      <c r="B25" s="5" t="s">
        <v>40</v>
      </c>
      <c r="C25" s="6">
        <v>18000000</v>
      </c>
      <c r="D25" s="11"/>
      <c r="E25" s="12">
        <f t="shared" si="2"/>
        <v>18000000</v>
      </c>
      <c r="F25" s="12">
        <v>872693</v>
      </c>
      <c r="G25" s="12">
        <v>732668</v>
      </c>
      <c r="H25" s="12">
        <v>908761</v>
      </c>
      <c r="I25" s="12">
        <v>493649</v>
      </c>
      <c r="J25" s="12">
        <v>568745</v>
      </c>
      <c r="K25" s="12">
        <v>600964</v>
      </c>
      <c r="L25" s="12">
        <v>524697</v>
      </c>
      <c r="M25" s="12"/>
      <c r="N25" s="12"/>
      <c r="O25" s="12">
        <v>3467850</v>
      </c>
      <c r="P25" s="12">
        <v>686816</v>
      </c>
      <c r="Q25" s="12">
        <v>472186</v>
      </c>
      <c r="R25" s="12">
        <f t="shared" si="3"/>
        <v>9329029</v>
      </c>
    </row>
    <row r="26" spans="1:18" x14ac:dyDescent="0.25">
      <c r="A26" s="4" t="s">
        <v>41</v>
      </c>
      <c r="B26" s="5" t="s">
        <v>42</v>
      </c>
      <c r="C26" s="6">
        <v>1000000</v>
      </c>
      <c r="D26" s="11"/>
      <c r="E26" s="12">
        <f t="shared" si="2"/>
        <v>1000000</v>
      </c>
      <c r="F26" s="12">
        <v>0</v>
      </c>
      <c r="G26" s="12">
        <v>0</v>
      </c>
      <c r="H26" s="12">
        <v>0</v>
      </c>
      <c r="I26" s="12">
        <v>0</v>
      </c>
      <c r="J26" s="12"/>
      <c r="K26" s="12"/>
      <c r="L26" s="12"/>
      <c r="M26" s="12"/>
      <c r="N26" s="12"/>
      <c r="O26" s="12"/>
      <c r="P26" s="12"/>
      <c r="Q26" s="12"/>
      <c r="R26" s="12">
        <f t="shared" si="3"/>
        <v>0</v>
      </c>
    </row>
    <row r="27" spans="1:18" x14ac:dyDescent="0.25">
      <c r="A27" s="4" t="s">
        <v>43</v>
      </c>
      <c r="B27" s="5" t="s">
        <v>44</v>
      </c>
      <c r="C27" s="6">
        <v>15000000</v>
      </c>
      <c r="D27" s="11"/>
      <c r="E27" s="12">
        <f t="shared" si="2"/>
        <v>15000000</v>
      </c>
      <c r="F27" s="12">
        <v>1259360</v>
      </c>
      <c r="G27" s="12">
        <v>1511232</v>
      </c>
      <c r="H27" s="12">
        <v>1889040</v>
      </c>
      <c r="I27" s="12">
        <v>1889040</v>
      </c>
      <c r="J27" s="12">
        <v>1385296</v>
      </c>
      <c r="K27" s="12">
        <v>1889040</v>
      </c>
      <c r="L27" s="12">
        <v>3148400</v>
      </c>
      <c r="M27" s="12">
        <v>3148400</v>
      </c>
      <c r="N27" s="12">
        <v>2014976</v>
      </c>
      <c r="O27" s="12">
        <v>2392784</v>
      </c>
      <c r="P27" s="12">
        <v>3022464</v>
      </c>
      <c r="Q27" s="12">
        <v>4281824</v>
      </c>
      <c r="R27" s="12">
        <f t="shared" si="3"/>
        <v>27831856</v>
      </c>
    </row>
    <row r="28" spans="1:18" x14ac:dyDescent="0.25">
      <c r="A28" s="4" t="s">
        <v>45</v>
      </c>
      <c r="B28" s="2" t="s">
        <v>46</v>
      </c>
      <c r="C28" s="6">
        <v>30000000</v>
      </c>
      <c r="D28" s="11"/>
      <c r="E28" s="12">
        <f t="shared" si="2"/>
        <v>30000000</v>
      </c>
      <c r="F28" s="12">
        <v>5082950</v>
      </c>
      <c r="G28" s="12">
        <v>5670888</v>
      </c>
      <c r="H28" s="12">
        <v>4844293</v>
      </c>
      <c r="I28" s="12">
        <v>3829754</v>
      </c>
      <c r="J28" s="12">
        <v>4750206</v>
      </c>
      <c r="K28" s="12">
        <v>3968724</v>
      </c>
      <c r="L28" s="12">
        <v>3612576</v>
      </c>
      <c r="M28" s="12">
        <v>3749979</v>
      </c>
      <c r="N28" s="12">
        <v>2622616</v>
      </c>
      <c r="O28" s="12">
        <v>3152258</v>
      </c>
      <c r="P28" s="12">
        <v>2430017</v>
      </c>
      <c r="Q28" s="12">
        <v>1693372</v>
      </c>
      <c r="R28" s="12">
        <f t="shared" si="3"/>
        <v>45407633</v>
      </c>
    </row>
    <row r="29" spans="1:18" x14ac:dyDescent="0.25">
      <c r="A29" s="4" t="s">
        <v>47</v>
      </c>
      <c r="B29" s="2" t="s">
        <v>48</v>
      </c>
      <c r="C29" s="6">
        <v>1000000</v>
      </c>
      <c r="D29" s="11"/>
      <c r="E29" s="12">
        <f t="shared" si="2"/>
        <v>1000000</v>
      </c>
      <c r="F29" s="12">
        <v>0</v>
      </c>
      <c r="G29" s="12">
        <v>0</v>
      </c>
      <c r="H29" s="12">
        <v>0</v>
      </c>
      <c r="I29" s="12">
        <v>0</v>
      </c>
      <c r="J29" s="12">
        <v>0</v>
      </c>
      <c r="K29" s="12">
        <v>0</v>
      </c>
      <c r="L29" s="12"/>
      <c r="M29" s="12"/>
      <c r="N29" s="12"/>
      <c r="O29" s="12"/>
      <c r="P29" s="12"/>
      <c r="Q29" s="12"/>
      <c r="R29" s="12">
        <f t="shared" si="3"/>
        <v>0</v>
      </c>
    </row>
    <row r="30" spans="1:18" x14ac:dyDescent="0.25">
      <c r="A30" s="4" t="s">
        <v>49</v>
      </c>
      <c r="B30" s="5" t="s">
        <v>50</v>
      </c>
      <c r="C30" s="6">
        <v>15000000</v>
      </c>
      <c r="D30" s="11"/>
      <c r="E30" s="12">
        <f t="shared" si="2"/>
        <v>15000000</v>
      </c>
      <c r="F30" s="12">
        <v>0</v>
      </c>
      <c r="G30" s="12">
        <v>0</v>
      </c>
      <c r="H30" s="36">
        <v>0</v>
      </c>
      <c r="I30" s="36">
        <v>0</v>
      </c>
      <c r="J30" s="36">
        <v>0</v>
      </c>
      <c r="K30" s="36">
        <v>0</v>
      </c>
      <c r="L30" s="36">
        <v>1026896</v>
      </c>
      <c r="M30" s="36">
        <v>577629</v>
      </c>
      <c r="N30" s="36">
        <v>1283620</v>
      </c>
      <c r="O30" s="36">
        <v>1283620</v>
      </c>
      <c r="P30" s="36">
        <v>1026896</v>
      </c>
      <c r="Q30" s="36">
        <v>1219439</v>
      </c>
      <c r="R30" s="12">
        <f t="shared" si="3"/>
        <v>6418100</v>
      </c>
    </row>
    <row r="31" spans="1:18" x14ac:dyDescent="0.25">
      <c r="A31" s="4" t="s">
        <v>51</v>
      </c>
      <c r="B31" s="5" t="s">
        <v>52</v>
      </c>
      <c r="C31" s="6">
        <v>15000000</v>
      </c>
      <c r="D31" s="11"/>
      <c r="E31" s="12">
        <f t="shared" si="2"/>
        <v>15000000</v>
      </c>
      <c r="F31" s="12">
        <v>445634</v>
      </c>
      <c r="G31" s="12">
        <v>449267</v>
      </c>
      <c r="H31" s="12">
        <v>641810</v>
      </c>
      <c r="I31" s="12">
        <v>898534</v>
      </c>
      <c r="J31" s="12">
        <v>898534</v>
      </c>
      <c r="K31" s="12">
        <v>834353</v>
      </c>
      <c r="L31" s="12">
        <v>1026896</v>
      </c>
      <c r="M31" s="12"/>
      <c r="N31" s="12"/>
      <c r="O31" s="12"/>
      <c r="P31" s="12"/>
      <c r="Q31" s="12"/>
      <c r="R31" s="12">
        <f t="shared" si="3"/>
        <v>5195028</v>
      </c>
    </row>
    <row r="32" spans="1:18" x14ac:dyDescent="0.25">
      <c r="A32" s="4" t="s">
        <v>53</v>
      </c>
      <c r="B32" s="5" t="s">
        <v>54</v>
      </c>
      <c r="C32" s="6">
        <v>6000000</v>
      </c>
      <c r="D32" s="11"/>
      <c r="E32" s="12">
        <f t="shared" si="2"/>
        <v>6000000</v>
      </c>
      <c r="F32" s="12">
        <v>166318</v>
      </c>
      <c r="G32" s="12">
        <v>228765</v>
      </c>
      <c r="H32" s="12">
        <v>281601</v>
      </c>
      <c r="I32" s="12">
        <v>246186</v>
      </c>
      <c r="J32" s="12">
        <v>175738</v>
      </c>
      <c r="K32" s="12">
        <v>184544</v>
      </c>
      <c r="L32" s="12">
        <v>290216</v>
      </c>
      <c r="M32" s="12">
        <v>228956</v>
      </c>
      <c r="N32" s="12">
        <v>290407</v>
      </c>
      <c r="O32" s="12">
        <v>281601</v>
      </c>
      <c r="P32" s="12">
        <v>307828</v>
      </c>
      <c r="Q32" s="12">
        <v>308019</v>
      </c>
      <c r="R32" s="12">
        <f t="shared" si="3"/>
        <v>2990179</v>
      </c>
    </row>
    <row r="33" spans="1:20" x14ac:dyDescent="0.25">
      <c r="A33" s="4" t="s">
        <v>55</v>
      </c>
      <c r="B33" s="5" t="s">
        <v>56</v>
      </c>
      <c r="C33" s="6">
        <v>7000000</v>
      </c>
      <c r="D33" s="11"/>
      <c r="E33" s="12">
        <f t="shared" si="2"/>
        <v>7000000</v>
      </c>
      <c r="F33" s="12">
        <v>4112416</v>
      </c>
      <c r="G33" s="12">
        <v>4611240</v>
      </c>
      <c r="H33" s="12">
        <v>4150116</v>
      </c>
      <c r="I33" s="12">
        <v>3227868</v>
      </c>
      <c r="J33" s="12">
        <v>4252588</v>
      </c>
      <c r="K33" s="12">
        <v>3688992</v>
      </c>
      <c r="L33" s="12">
        <v>5277308</v>
      </c>
      <c r="M33" s="12">
        <v>5277308</v>
      </c>
      <c r="N33" s="12">
        <v>5431016</v>
      </c>
      <c r="O33" s="12">
        <v>5431016</v>
      </c>
      <c r="P33" s="12">
        <v>6916860</v>
      </c>
      <c r="Q33" s="12">
        <v>8713020</v>
      </c>
      <c r="R33" s="12">
        <f t="shared" si="3"/>
        <v>61089748</v>
      </c>
    </row>
    <row r="34" spans="1:20" x14ac:dyDescent="0.25">
      <c r="A34" s="4" t="s">
        <v>57</v>
      </c>
      <c r="B34" s="5" t="s">
        <v>58</v>
      </c>
      <c r="C34" s="6">
        <v>6000000</v>
      </c>
      <c r="D34" s="11"/>
      <c r="E34" s="12">
        <f t="shared" si="2"/>
        <v>6000000</v>
      </c>
      <c r="F34" s="12">
        <v>756057</v>
      </c>
      <c r="G34" s="12">
        <v>1105408</v>
      </c>
      <c r="H34" s="12">
        <v>1174496</v>
      </c>
      <c r="I34" s="12">
        <v>967232</v>
      </c>
      <c r="J34" s="12">
        <v>1727200</v>
      </c>
      <c r="K34" s="12">
        <v>1105408</v>
      </c>
      <c r="L34" s="12">
        <v>2970784</v>
      </c>
      <c r="M34" s="12">
        <v>1658112</v>
      </c>
      <c r="N34" s="12">
        <v>1796288</v>
      </c>
      <c r="O34" s="12">
        <v>1934464</v>
      </c>
      <c r="P34" s="12">
        <v>1105408</v>
      </c>
      <c r="Q34" s="12">
        <v>2141728</v>
      </c>
      <c r="R34" s="12">
        <f t="shared" si="3"/>
        <v>18442585</v>
      </c>
    </row>
    <row r="35" spans="1:20" x14ac:dyDescent="0.25">
      <c r="A35" s="4" t="s">
        <v>59</v>
      </c>
      <c r="B35" s="5" t="s">
        <v>60</v>
      </c>
      <c r="C35" s="6">
        <v>250000</v>
      </c>
      <c r="D35" s="11"/>
      <c r="E35" s="12">
        <f t="shared" si="2"/>
        <v>250000</v>
      </c>
      <c r="F35" s="12">
        <v>0</v>
      </c>
      <c r="G35" s="12">
        <v>17943</v>
      </c>
      <c r="H35" s="12">
        <v>17943</v>
      </c>
      <c r="I35" s="12">
        <v>35886</v>
      </c>
      <c r="J35" s="12">
        <v>35886</v>
      </c>
      <c r="K35" s="12">
        <v>35886</v>
      </c>
      <c r="L35" s="12">
        <v>39327</v>
      </c>
      <c r="M35" s="12">
        <v>35886</v>
      </c>
      <c r="N35" s="12">
        <v>17943</v>
      </c>
      <c r="O35" s="12">
        <v>39327</v>
      </c>
      <c r="P35" s="12"/>
      <c r="Q35" s="12">
        <v>125601</v>
      </c>
      <c r="R35" s="12">
        <f t="shared" si="3"/>
        <v>401628</v>
      </c>
    </row>
    <row r="36" spans="1:20" x14ac:dyDescent="0.25">
      <c r="A36" s="4" t="s">
        <v>61</v>
      </c>
      <c r="B36" s="5" t="s">
        <v>62</v>
      </c>
      <c r="C36" s="6">
        <v>5000000</v>
      </c>
      <c r="D36" s="11"/>
      <c r="E36" s="12">
        <f t="shared" si="2"/>
        <v>5000000</v>
      </c>
      <c r="F36" s="12">
        <v>0</v>
      </c>
      <c r="G36" s="12">
        <v>545587</v>
      </c>
      <c r="H36" s="12">
        <v>0</v>
      </c>
      <c r="I36" s="12">
        <v>0</v>
      </c>
      <c r="J36" s="12">
        <v>0</v>
      </c>
      <c r="K36" s="12">
        <v>0</v>
      </c>
      <c r="L36" s="12">
        <v>0</v>
      </c>
      <c r="M36" s="12">
        <v>1038945</v>
      </c>
      <c r="N36" s="12">
        <v>768945</v>
      </c>
      <c r="O36" s="12">
        <v>3688413</v>
      </c>
      <c r="P36" s="12"/>
      <c r="Q36" s="12">
        <v>4514535</v>
      </c>
      <c r="R36" s="12">
        <f t="shared" si="3"/>
        <v>10556425</v>
      </c>
    </row>
    <row r="37" spans="1:20" x14ac:dyDescent="0.25">
      <c r="A37" s="4" t="s">
        <v>63</v>
      </c>
      <c r="B37" s="5" t="s">
        <v>64</v>
      </c>
      <c r="C37" s="6">
        <v>110000</v>
      </c>
      <c r="D37" s="11"/>
      <c r="E37" s="12">
        <f t="shared" si="2"/>
        <v>110000</v>
      </c>
      <c r="F37" s="12">
        <v>0</v>
      </c>
      <c r="G37" s="12">
        <v>0</v>
      </c>
      <c r="H37" s="12">
        <v>0</v>
      </c>
      <c r="I37" s="12">
        <v>0</v>
      </c>
      <c r="J37" s="12">
        <v>0</v>
      </c>
      <c r="K37" s="12">
        <v>0</v>
      </c>
      <c r="L37" s="12">
        <v>0</v>
      </c>
      <c r="M37" s="12"/>
      <c r="N37" s="12"/>
      <c r="O37" s="12"/>
      <c r="P37" s="12"/>
      <c r="Q37" s="12"/>
      <c r="R37" s="12">
        <f t="shared" si="3"/>
        <v>0</v>
      </c>
    </row>
    <row r="38" spans="1:20" x14ac:dyDescent="0.25">
      <c r="A38" s="4" t="s">
        <v>65</v>
      </c>
      <c r="B38" s="5" t="s">
        <v>66</v>
      </c>
      <c r="C38" s="6">
        <v>1000000</v>
      </c>
      <c r="D38" s="11"/>
      <c r="E38" s="12">
        <f t="shared" si="2"/>
        <v>1000000</v>
      </c>
      <c r="F38" s="12">
        <v>27589</v>
      </c>
      <c r="G38" s="12">
        <v>0</v>
      </c>
      <c r="H38" s="12">
        <v>27589</v>
      </c>
      <c r="I38" s="12">
        <v>82767</v>
      </c>
      <c r="J38" s="12">
        <v>27589</v>
      </c>
      <c r="K38" s="12">
        <v>55178</v>
      </c>
      <c r="L38" s="12">
        <v>82767</v>
      </c>
      <c r="M38" s="12">
        <v>55178</v>
      </c>
      <c r="N38" s="12">
        <v>110356</v>
      </c>
      <c r="O38" s="12">
        <v>137945</v>
      </c>
      <c r="P38" s="12">
        <v>27589</v>
      </c>
      <c r="Q38" s="12">
        <v>55178</v>
      </c>
      <c r="R38" s="12">
        <f t="shared" si="3"/>
        <v>689725</v>
      </c>
    </row>
    <row r="39" spans="1:20" x14ac:dyDescent="0.25">
      <c r="A39" s="4" t="s">
        <v>67</v>
      </c>
      <c r="B39" s="5" t="s">
        <v>68</v>
      </c>
      <c r="C39" s="6">
        <v>3850000</v>
      </c>
      <c r="D39" s="11"/>
      <c r="E39" s="12">
        <f t="shared" si="2"/>
        <v>3850000</v>
      </c>
      <c r="F39" s="12">
        <v>171880</v>
      </c>
      <c r="G39" s="12">
        <v>85940</v>
      </c>
      <c r="H39" s="12">
        <v>0</v>
      </c>
      <c r="I39" s="12">
        <v>171880</v>
      </c>
      <c r="J39" s="12">
        <v>343760</v>
      </c>
      <c r="K39" s="12">
        <v>85940</v>
      </c>
      <c r="L39" s="12">
        <v>85940</v>
      </c>
      <c r="M39" s="12">
        <f>85940+84239</f>
        <v>170179</v>
      </c>
      <c r="N39" s="12">
        <v>171880</v>
      </c>
      <c r="O39" s="12">
        <v>257820</v>
      </c>
      <c r="P39" s="12">
        <v>85940</v>
      </c>
      <c r="Q39" s="12">
        <v>0</v>
      </c>
      <c r="R39" s="12">
        <f t="shared" si="3"/>
        <v>1631159</v>
      </c>
    </row>
    <row r="40" spans="1:20" x14ac:dyDescent="0.25">
      <c r="A40" s="4" t="s">
        <v>69</v>
      </c>
      <c r="B40" s="5" t="s">
        <v>70</v>
      </c>
      <c r="C40" s="6">
        <v>2500000</v>
      </c>
      <c r="D40" s="11"/>
      <c r="E40" s="12">
        <f t="shared" si="2"/>
        <v>2500000</v>
      </c>
      <c r="F40" s="12">
        <v>536585</v>
      </c>
      <c r="G40" s="12">
        <v>229965</v>
      </c>
      <c r="H40" s="12">
        <v>459930</v>
      </c>
      <c r="I40" s="12">
        <v>383275</v>
      </c>
      <c r="J40" s="12">
        <v>613240</v>
      </c>
      <c r="K40" s="12">
        <v>153310</v>
      </c>
      <c r="L40" s="12">
        <v>153310</v>
      </c>
      <c r="M40" s="12">
        <v>76655</v>
      </c>
      <c r="N40" s="12">
        <v>153310</v>
      </c>
      <c r="O40" s="12">
        <v>459930</v>
      </c>
      <c r="P40" s="12">
        <v>229965</v>
      </c>
      <c r="Q40" s="12">
        <v>383275</v>
      </c>
      <c r="R40" s="12">
        <f t="shared" si="3"/>
        <v>3832750</v>
      </c>
    </row>
    <row r="41" spans="1:20" x14ac:dyDescent="0.25">
      <c r="A41" s="4" t="s">
        <v>71</v>
      </c>
      <c r="B41" s="5" t="s">
        <v>72</v>
      </c>
      <c r="C41" s="6">
        <v>500000</v>
      </c>
      <c r="D41" s="11"/>
      <c r="E41" s="12">
        <f t="shared" si="2"/>
        <v>500000</v>
      </c>
      <c r="F41" s="12">
        <v>138099</v>
      </c>
      <c r="G41" s="12">
        <f>46033+149708</f>
        <v>195741</v>
      </c>
      <c r="H41" s="12">
        <v>46033</v>
      </c>
      <c r="I41" s="12">
        <v>46033</v>
      </c>
      <c r="J41" s="12">
        <v>0</v>
      </c>
      <c r="K41" s="12">
        <v>276198</v>
      </c>
      <c r="L41" s="12">
        <v>92066</v>
      </c>
      <c r="M41" s="12">
        <v>46033</v>
      </c>
      <c r="N41" s="12">
        <v>138099</v>
      </c>
      <c r="O41" s="12">
        <f>46033+224562</f>
        <v>270595</v>
      </c>
      <c r="P41" s="12">
        <v>46033</v>
      </c>
      <c r="Q41" s="12">
        <v>92066</v>
      </c>
      <c r="R41" s="12">
        <f t="shared" si="3"/>
        <v>1386996</v>
      </c>
    </row>
    <row r="42" spans="1:20" x14ac:dyDescent="0.25">
      <c r="A42" s="4" t="s">
        <v>73</v>
      </c>
      <c r="B42" s="5" t="s">
        <v>74</v>
      </c>
      <c r="C42" s="6">
        <v>3500000</v>
      </c>
      <c r="D42" s="11"/>
      <c r="E42" s="12">
        <f t="shared" si="2"/>
        <v>3500000</v>
      </c>
      <c r="F42" s="12">
        <v>168642</v>
      </c>
      <c r="G42" s="12">
        <v>173554</v>
      </c>
      <c r="H42" s="12">
        <v>86777</v>
      </c>
      <c r="I42" s="12">
        <v>0</v>
      </c>
      <c r="J42" s="12">
        <v>173554</v>
      </c>
      <c r="K42" s="12">
        <v>86777</v>
      </c>
      <c r="L42" s="12">
        <v>86777</v>
      </c>
      <c r="M42" s="12">
        <v>173554</v>
      </c>
      <c r="N42" s="12">
        <v>260331</v>
      </c>
      <c r="O42" s="12"/>
      <c r="P42" s="12"/>
      <c r="Q42" s="12">
        <v>86777</v>
      </c>
      <c r="R42" s="12">
        <f t="shared" si="3"/>
        <v>1296743</v>
      </c>
    </row>
    <row r="43" spans="1:20" x14ac:dyDescent="0.25">
      <c r="A43" s="4" t="s">
        <v>75</v>
      </c>
      <c r="B43" s="5" t="s">
        <v>76</v>
      </c>
      <c r="C43" s="6">
        <v>1200000</v>
      </c>
      <c r="D43" s="11"/>
      <c r="E43" s="12">
        <f t="shared" si="2"/>
        <v>1200000</v>
      </c>
      <c r="F43" s="12">
        <v>34366</v>
      </c>
      <c r="G43" s="12">
        <v>68732</v>
      </c>
      <c r="H43" s="12">
        <v>34366</v>
      </c>
      <c r="I43" s="12">
        <v>137464</v>
      </c>
      <c r="J43" s="12">
        <v>34366</v>
      </c>
      <c r="K43" s="12">
        <v>171830</v>
      </c>
      <c r="L43" s="12">
        <v>103098</v>
      </c>
      <c r="M43" s="12">
        <f>34366+19824+119</f>
        <v>54309</v>
      </c>
      <c r="N43" s="12">
        <v>206196</v>
      </c>
      <c r="O43" s="12">
        <v>103098</v>
      </c>
      <c r="P43" s="12">
        <v>171830</v>
      </c>
      <c r="Q43" s="12">
        <v>103098</v>
      </c>
      <c r="R43" s="12">
        <f t="shared" si="3"/>
        <v>1222753</v>
      </c>
    </row>
    <row r="44" spans="1:20" x14ac:dyDescent="0.25">
      <c r="A44" s="4" t="s">
        <v>77</v>
      </c>
      <c r="B44" s="5" t="s">
        <v>78</v>
      </c>
      <c r="C44" s="6">
        <v>1000000</v>
      </c>
      <c r="D44" s="11"/>
      <c r="E44" s="12">
        <f t="shared" si="2"/>
        <v>1000000</v>
      </c>
      <c r="F44" s="12">
        <v>872693</v>
      </c>
      <c r="G44" s="12">
        <v>772668</v>
      </c>
      <c r="H44" s="12">
        <v>1008761</v>
      </c>
      <c r="I44" s="12">
        <v>493649</v>
      </c>
      <c r="J44" s="12">
        <v>1159002</v>
      </c>
      <c r="K44" s="12">
        <v>600964</v>
      </c>
      <c r="L44" s="12">
        <v>785496</v>
      </c>
      <c r="M44" s="12">
        <v>794131</v>
      </c>
      <c r="N44" s="12">
        <v>579501</v>
      </c>
      <c r="O44" s="12">
        <v>579501</v>
      </c>
      <c r="P44" s="12">
        <v>686816</v>
      </c>
      <c r="Q44" s="12">
        <v>144228</v>
      </c>
      <c r="R44" s="12">
        <f t="shared" si="3"/>
        <v>8477410</v>
      </c>
    </row>
    <row r="45" spans="1:20" x14ac:dyDescent="0.25">
      <c r="A45" s="4" t="s">
        <v>79</v>
      </c>
      <c r="B45" s="5" t="s">
        <v>80</v>
      </c>
      <c r="C45" s="6">
        <v>77000000</v>
      </c>
      <c r="D45" s="11"/>
      <c r="E45" s="12">
        <f t="shared" si="2"/>
        <v>77000000</v>
      </c>
      <c r="F45" s="12">
        <v>1699600</v>
      </c>
      <c r="G45" s="12">
        <v>3548975</v>
      </c>
      <c r="H45" s="12">
        <v>2568974</v>
      </c>
      <c r="I45" s="12">
        <v>1671138</v>
      </c>
      <c r="J45" s="12">
        <v>987564</v>
      </c>
      <c r="K45" s="12">
        <v>8698756</v>
      </c>
      <c r="L45" s="12">
        <v>5897562</v>
      </c>
      <c r="M45" s="12">
        <f>651091+227976</f>
        <v>879067</v>
      </c>
      <c r="N45" s="12">
        <v>910386</v>
      </c>
      <c r="O45" s="12">
        <v>2008000</v>
      </c>
      <c r="P45" s="12">
        <v>1740130</v>
      </c>
      <c r="Q45" s="12">
        <v>1438157</v>
      </c>
      <c r="R45" s="12">
        <f t="shared" si="3"/>
        <v>32048309</v>
      </c>
    </row>
    <row r="46" spans="1:20" x14ac:dyDescent="0.25">
      <c r="A46" s="4" t="s">
        <v>81</v>
      </c>
      <c r="B46" s="5" t="s">
        <v>82</v>
      </c>
      <c r="C46" s="6">
        <v>40000000</v>
      </c>
      <c r="D46" s="11"/>
      <c r="E46" s="12">
        <f t="shared" si="2"/>
        <v>40000000</v>
      </c>
      <c r="F46" s="12">
        <v>2985647</v>
      </c>
      <c r="G46" s="12">
        <v>4621671</v>
      </c>
      <c r="H46" s="12">
        <f>4125644-H45+48076</f>
        <v>1604746</v>
      </c>
      <c r="I46" s="12">
        <v>725790</v>
      </c>
      <c r="J46" s="12">
        <v>2227694</v>
      </c>
      <c r="K46" s="12">
        <v>2327070</v>
      </c>
      <c r="L46" s="12">
        <v>1817767</v>
      </c>
      <c r="M46" s="12">
        <v>3173533</v>
      </c>
      <c r="N46" s="12"/>
      <c r="O46" s="12">
        <v>700082</v>
      </c>
      <c r="P46" s="12">
        <v>48076</v>
      </c>
      <c r="Q46" s="12">
        <v>958771</v>
      </c>
      <c r="R46" s="12">
        <f t="shared" si="3"/>
        <v>21190847</v>
      </c>
      <c r="S46" s="69"/>
      <c r="T46" s="68"/>
    </row>
    <row r="47" spans="1:20" x14ac:dyDescent="0.25">
      <c r="A47" s="4" t="s">
        <v>83</v>
      </c>
      <c r="B47" s="5" t="s">
        <v>84</v>
      </c>
      <c r="C47" s="6">
        <v>15000000</v>
      </c>
      <c r="D47" s="11"/>
      <c r="E47" s="12">
        <f t="shared" si="2"/>
        <v>15000000</v>
      </c>
      <c r="F47" s="12">
        <v>1135035</v>
      </c>
      <c r="G47" s="12">
        <v>949110</v>
      </c>
      <c r="H47" s="12">
        <v>1284090</v>
      </c>
      <c r="I47" s="12">
        <v>614130</v>
      </c>
      <c r="J47" s="12">
        <v>1563240</v>
      </c>
      <c r="K47" s="36">
        <v>781620</v>
      </c>
      <c r="L47" s="36">
        <v>1004940</v>
      </c>
      <c r="M47" s="36">
        <v>1032855</v>
      </c>
      <c r="N47" s="36">
        <v>753705</v>
      </c>
      <c r="O47" s="36">
        <v>753705</v>
      </c>
      <c r="P47" s="36">
        <v>893280</v>
      </c>
      <c r="Q47" s="36">
        <v>614130</v>
      </c>
      <c r="R47" s="12">
        <f t="shared" si="3"/>
        <v>11379840</v>
      </c>
    </row>
    <row r="48" spans="1:20" x14ac:dyDescent="0.25">
      <c r="A48" s="4" t="s">
        <v>85</v>
      </c>
      <c r="B48" s="5" t="s">
        <v>86</v>
      </c>
      <c r="C48" s="6">
        <v>15000000</v>
      </c>
      <c r="D48" s="11"/>
      <c r="E48" s="12">
        <f t="shared" si="2"/>
        <v>15000000</v>
      </c>
      <c r="F48" s="12">
        <f>746425+3120</f>
        <v>749545</v>
      </c>
      <c r="G48" s="12">
        <f>9720+1381560</f>
        <v>1391280</v>
      </c>
      <c r="H48" s="12">
        <f>25920+2485220</f>
        <v>2511140</v>
      </c>
      <c r="I48" s="12">
        <v>2973530</v>
      </c>
      <c r="J48" s="12">
        <f>16680+4720330</f>
        <v>4737010</v>
      </c>
      <c r="K48" s="12">
        <f>3576970+11160</f>
        <v>3588130</v>
      </c>
      <c r="L48" s="12">
        <v>4299510</v>
      </c>
      <c r="M48" s="12">
        <f>55080+3243490</f>
        <v>3298570</v>
      </c>
      <c r="N48" s="12">
        <v>2806790</v>
      </c>
      <c r="O48" s="12">
        <v>2378030</v>
      </c>
      <c r="P48" s="12">
        <v>1460960</v>
      </c>
      <c r="Q48" s="12">
        <v>1838110</v>
      </c>
      <c r="R48" s="12">
        <f t="shared" si="3"/>
        <v>32032605</v>
      </c>
    </row>
    <row r="49" spans="1:18" x14ac:dyDescent="0.25">
      <c r="A49" s="4" t="s">
        <v>87</v>
      </c>
      <c r="B49" s="5" t="s">
        <v>88</v>
      </c>
      <c r="C49" s="6">
        <v>1000000</v>
      </c>
      <c r="D49" s="11"/>
      <c r="E49" s="12">
        <f t="shared" si="2"/>
        <v>1000000</v>
      </c>
      <c r="F49" s="12">
        <v>0</v>
      </c>
      <c r="G49" s="12">
        <v>34708</v>
      </c>
      <c r="H49" s="12">
        <v>82456</v>
      </c>
      <c r="I49" s="12">
        <v>0</v>
      </c>
      <c r="J49" s="12">
        <v>17354</v>
      </c>
      <c r="K49" s="12">
        <v>0</v>
      </c>
      <c r="L49" s="12"/>
      <c r="M49" s="12"/>
      <c r="N49" s="12"/>
      <c r="O49" s="12"/>
      <c r="P49" s="12"/>
      <c r="Q49" s="12">
        <v>0</v>
      </c>
      <c r="R49" s="12">
        <f t="shared" si="3"/>
        <v>134518</v>
      </c>
    </row>
    <row r="50" spans="1:18" x14ac:dyDescent="0.25">
      <c r="A50" s="4" t="s">
        <v>89</v>
      </c>
      <c r="B50" s="5" t="s">
        <v>90</v>
      </c>
      <c r="C50" s="6">
        <v>1000000</v>
      </c>
      <c r="D50" s="11"/>
      <c r="E50" s="12">
        <f t="shared" si="2"/>
        <v>1000000</v>
      </c>
      <c r="F50" s="12">
        <v>0</v>
      </c>
      <c r="G50" s="12">
        <v>0</v>
      </c>
      <c r="H50" s="12">
        <v>0</v>
      </c>
      <c r="I50" s="12">
        <v>0</v>
      </c>
      <c r="J50" s="12">
        <v>0</v>
      </c>
      <c r="K50" s="12">
        <v>0</v>
      </c>
      <c r="L50" s="12"/>
      <c r="M50" s="12"/>
      <c r="N50" s="12"/>
      <c r="O50" s="12"/>
      <c r="P50" s="12"/>
      <c r="Q50" s="12">
        <v>0</v>
      </c>
      <c r="R50" s="12">
        <f t="shared" si="3"/>
        <v>0</v>
      </c>
    </row>
    <row r="51" spans="1:18" x14ac:dyDescent="0.25">
      <c r="A51" s="4" t="s">
        <v>91</v>
      </c>
      <c r="B51" s="5" t="s">
        <v>92</v>
      </c>
      <c r="C51" s="6">
        <v>10000000</v>
      </c>
      <c r="D51" s="11"/>
      <c r="E51" s="12">
        <f t="shared" si="2"/>
        <v>10000000</v>
      </c>
      <c r="F51" s="12">
        <v>832968</v>
      </c>
      <c r="G51" s="12">
        <v>684567</v>
      </c>
      <c r="H51" s="12">
        <v>598745</v>
      </c>
      <c r="I51" s="12">
        <v>493649</v>
      </c>
      <c r="J51" s="12">
        <v>505698</v>
      </c>
      <c r="K51" s="12">
        <v>495623</v>
      </c>
      <c r="L51" s="12">
        <v>579501</v>
      </c>
      <c r="M51" s="12"/>
      <c r="N51" s="12"/>
      <c r="O51" s="12">
        <v>579501</v>
      </c>
      <c r="P51" s="12">
        <v>356879</v>
      </c>
      <c r="Q51" s="12">
        <v>472186</v>
      </c>
      <c r="R51" s="12">
        <f t="shared" si="3"/>
        <v>5599317</v>
      </c>
    </row>
    <row r="52" spans="1:18" x14ac:dyDescent="0.25">
      <c r="A52" s="4" t="s">
        <v>93</v>
      </c>
      <c r="B52" s="5" t="s">
        <v>94</v>
      </c>
      <c r="C52" s="6">
        <v>1000000</v>
      </c>
      <c r="D52" s="11"/>
      <c r="E52" s="12">
        <f t="shared" si="2"/>
        <v>1000000</v>
      </c>
      <c r="F52" s="12">
        <v>0</v>
      </c>
      <c r="G52" s="12">
        <v>0</v>
      </c>
      <c r="H52" s="12">
        <v>0</v>
      </c>
      <c r="I52" s="12">
        <v>0</v>
      </c>
      <c r="J52" s="12">
        <v>0</v>
      </c>
      <c r="K52" s="12">
        <v>0</v>
      </c>
      <c r="L52" s="12"/>
      <c r="M52" s="12"/>
      <c r="N52" s="12"/>
      <c r="O52" s="12"/>
      <c r="P52" s="12"/>
      <c r="Q52" s="12"/>
      <c r="R52" s="12">
        <f t="shared" si="3"/>
        <v>0</v>
      </c>
    </row>
    <row r="53" spans="1:18" x14ac:dyDescent="0.25">
      <c r="A53" s="4" t="s">
        <v>95</v>
      </c>
      <c r="B53" s="5" t="s">
        <v>96</v>
      </c>
      <c r="C53" s="6">
        <v>1000000</v>
      </c>
      <c r="D53" s="11"/>
      <c r="E53" s="12">
        <f t="shared" si="2"/>
        <v>1000000</v>
      </c>
      <c r="F53" s="12">
        <v>0</v>
      </c>
      <c r="G53" s="12">
        <v>0</v>
      </c>
      <c r="H53" s="12">
        <v>0</v>
      </c>
      <c r="I53" s="12">
        <v>0</v>
      </c>
      <c r="J53" s="12">
        <v>0</v>
      </c>
      <c r="K53" s="12">
        <v>0</v>
      </c>
      <c r="L53" s="12"/>
      <c r="M53" s="12"/>
      <c r="N53" s="12"/>
      <c r="O53" s="12"/>
      <c r="P53" s="12"/>
      <c r="Q53" s="12"/>
      <c r="R53" s="12">
        <f t="shared" si="3"/>
        <v>0</v>
      </c>
    </row>
    <row r="54" spans="1:18" x14ac:dyDescent="0.25">
      <c r="A54" s="4" t="s">
        <v>97</v>
      </c>
      <c r="B54" s="5" t="s">
        <v>98</v>
      </c>
      <c r="C54" s="6">
        <v>1000000</v>
      </c>
      <c r="D54" s="11"/>
      <c r="E54" s="12">
        <f t="shared" si="2"/>
        <v>1000000</v>
      </c>
      <c r="F54" s="12">
        <v>0</v>
      </c>
      <c r="G54" s="12">
        <v>0</v>
      </c>
      <c r="H54" s="12">
        <v>0</v>
      </c>
      <c r="I54" s="12">
        <v>0</v>
      </c>
      <c r="J54" s="12">
        <v>0</v>
      </c>
      <c r="K54" s="12">
        <v>0</v>
      </c>
      <c r="L54" s="12"/>
      <c r="M54" s="12"/>
      <c r="N54" s="12"/>
      <c r="O54" s="12"/>
      <c r="P54" s="12"/>
      <c r="Q54" s="12"/>
      <c r="R54" s="12">
        <f t="shared" si="3"/>
        <v>0</v>
      </c>
    </row>
    <row r="55" spans="1:18" x14ac:dyDescent="0.25">
      <c r="A55" s="4" t="s">
        <v>99</v>
      </c>
      <c r="B55" s="5" t="s">
        <v>100</v>
      </c>
      <c r="C55" s="6">
        <v>1000000</v>
      </c>
      <c r="D55" s="11"/>
      <c r="E55" s="12">
        <f t="shared" si="2"/>
        <v>1000000</v>
      </c>
      <c r="F55" s="12">
        <v>0</v>
      </c>
      <c r="G55" s="12">
        <v>0</v>
      </c>
      <c r="H55" s="12">
        <v>0</v>
      </c>
      <c r="I55" s="12">
        <v>0</v>
      </c>
      <c r="J55" s="12">
        <v>0</v>
      </c>
      <c r="K55" s="12">
        <v>155082</v>
      </c>
      <c r="L55" s="12"/>
      <c r="M55" s="12">
        <v>155082</v>
      </c>
      <c r="N55" s="12">
        <v>387705</v>
      </c>
      <c r="O55" s="12">
        <v>542787</v>
      </c>
      <c r="P55" s="12">
        <v>232623</v>
      </c>
      <c r="Q55" s="12">
        <v>232623</v>
      </c>
      <c r="R55" s="12">
        <f t="shared" si="3"/>
        <v>1705902</v>
      </c>
    </row>
    <row r="56" spans="1:18" x14ac:dyDescent="0.25">
      <c r="A56" s="4" t="s">
        <v>101</v>
      </c>
      <c r="B56" s="5" t="s">
        <v>102</v>
      </c>
      <c r="C56" s="6">
        <v>1000000</v>
      </c>
      <c r="D56" s="11"/>
      <c r="E56" s="12">
        <f t="shared" si="2"/>
        <v>1000000</v>
      </c>
      <c r="F56" s="12">
        <v>0</v>
      </c>
      <c r="G56" s="12">
        <v>0</v>
      </c>
      <c r="H56" s="12">
        <v>0</v>
      </c>
      <c r="I56" s="12">
        <v>0</v>
      </c>
      <c r="J56" s="12">
        <v>0</v>
      </c>
      <c r="K56" s="12">
        <v>0</v>
      </c>
      <c r="L56" s="12"/>
      <c r="M56" s="12">
        <v>34708</v>
      </c>
      <c r="N56" s="12"/>
      <c r="O56" s="12"/>
      <c r="P56" s="12">
        <v>17354</v>
      </c>
      <c r="Q56" s="12">
        <v>0</v>
      </c>
      <c r="R56" s="12">
        <f t="shared" si="3"/>
        <v>52062</v>
      </c>
    </row>
    <row r="57" spans="1:18" x14ac:dyDescent="0.25">
      <c r="A57" s="4" t="s">
        <v>103</v>
      </c>
      <c r="B57" s="5" t="s">
        <v>104</v>
      </c>
      <c r="C57" s="6">
        <v>1000000</v>
      </c>
      <c r="D57" s="11"/>
      <c r="E57" s="12">
        <f t="shared" si="2"/>
        <v>1000000</v>
      </c>
      <c r="F57" s="12">
        <v>0</v>
      </c>
      <c r="G57" s="12">
        <v>0</v>
      </c>
      <c r="H57" s="12">
        <v>0</v>
      </c>
      <c r="I57" s="12">
        <v>0</v>
      </c>
      <c r="J57" s="12">
        <v>0</v>
      </c>
      <c r="K57" s="12">
        <v>0</v>
      </c>
      <c r="L57" s="12"/>
      <c r="M57" s="12"/>
      <c r="N57" s="12"/>
      <c r="O57" s="12"/>
      <c r="P57" s="12"/>
      <c r="Q57" s="12"/>
      <c r="R57" s="12">
        <f t="shared" si="3"/>
        <v>0</v>
      </c>
    </row>
    <row r="58" spans="1:18" x14ac:dyDescent="0.25">
      <c r="A58" s="4" t="s">
        <v>105</v>
      </c>
      <c r="B58" s="5" t="s">
        <v>106</v>
      </c>
      <c r="C58" s="6">
        <v>1000000</v>
      </c>
      <c r="D58" s="11"/>
      <c r="E58" s="12">
        <f t="shared" si="2"/>
        <v>1000000</v>
      </c>
      <c r="F58" s="12">
        <v>0</v>
      </c>
      <c r="G58" s="12">
        <v>0</v>
      </c>
      <c r="H58" s="12">
        <v>0</v>
      </c>
      <c r="I58" s="12">
        <v>0</v>
      </c>
      <c r="J58" s="12">
        <v>0</v>
      </c>
      <c r="K58" s="12">
        <v>0</v>
      </c>
      <c r="L58" s="12"/>
      <c r="M58" s="12"/>
      <c r="N58" s="12"/>
      <c r="O58" s="12"/>
      <c r="P58" s="12"/>
      <c r="Q58" s="12"/>
      <c r="R58" s="12">
        <f t="shared" si="3"/>
        <v>0</v>
      </c>
    </row>
    <row r="59" spans="1:18" x14ac:dyDescent="0.25">
      <c r="A59" s="4" t="s">
        <v>107</v>
      </c>
      <c r="B59" s="5" t="s">
        <v>108</v>
      </c>
      <c r="C59" s="6">
        <v>100000</v>
      </c>
      <c r="D59" s="11"/>
      <c r="E59" s="12">
        <f t="shared" si="2"/>
        <v>100000</v>
      </c>
      <c r="F59" s="12">
        <v>0</v>
      </c>
      <c r="G59" s="12">
        <v>0</v>
      </c>
      <c r="H59" s="12">
        <v>0</v>
      </c>
      <c r="I59" s="12">
        <v>0</v>
      </c>
      <c r="J59" s="12">
        <v>0</v>
      </c>
      <c r="K59" s="12">
        <v>0</v>
      </c>
      <c r="L59" s="12"/>
      <c r="M59" s="12">
        <v>96152</v>
      </c>
      <c r="N59" s="12"/>
      <c r="O59" s="12"/>
      <c r="P59" s="12"/>
      <c r="Q59" s="12"/>
      <c r="R59" s="12">
        <f t="shared" si="3"/>
        <v>96152</v>
      </c>
    </row>
    <row r="60" spans="1:18" x14ac:dyDescent="0.25">
      <c r="A60" s="4" t="s">
        <v>109</v>
      </c>
      <c r="B60" s="5" t="s">
        <v>110</v>
      </c>
      <c r="C60" s="6">
        <v>100000</v>
      </c>
      <c r="D60" s="11"/>
      <c r="E60" s="12">
        <f t="shared" si="2"/>
        <v>100000</v>
      </c>
      <c r="F60" s="12">
        <v>0</v>
      </c>
      <c r="G60" s="12">
        <v>0</v>
      </c>
      <c r="H60" s="12">
        <v>0</v>
      </c>
      <c r="I60" s="12">
        <v>0</v>
      </c>
      <c r="J60" s="12">
        <v>43701</v>
      </c>
      <c r="K60" s="12">
        <v>0</v>
      </c>
      <c r="L60" s="12"/>
      <c r="M60" s="12"/>
      <c r="N60" s="12"/>
      <c r="O60" s="12"/>
      <c r="P60" s="12"/>
      <c r="Q60" s="12"/>
      <c r="R60" s="12">
        <f t="shared" si="3"/>
        <v>43701</v>
      </c>
    </row>
    <row r="61" spans="1:18" x14ac:dyDescent="0.25">
      <c r="A61" s="4" t="s">
        <v>111</v>
      </c>
      <c r="B61" s="5" t="s">
        <v>112</v>
      </c>
      <c r="C61" s="6">
        <v>100000</v>
      </c>
      <c r="D61" s="11"/>
      <c r="E61" s="12">
        <f t="shared" si="2"/>
        <v>100000</v>
      </c>
      <c r="F61" s="12">
        <v>0</v>
      </c>
      <c r="G61" s="12">
        <v>0</v>
      </c>
      <c r="H61" s="12">
        <v>0</v>
      </c>
      <c r="I61" s="12">
        <v>0</v>
      </c>
      <c r="J61" s="12">
        <v>0</v>
      </c>
      <c r="K61" s="12">
        <v>0</v>
      </c>
      <c r="L61" s="12"/>
      <c r="M61" s="12"/>
      <c r="N61" s="12"/>
      <c r="O61" s="12"/>
      <c r="P61" s="12"/>
      <c r="Q61" s="12"/>
      <c r="R61" s="12">
        <f t="shared" si="3"/>
        <v>0</v>
      </c>
    </row>
    <row r="62" spans="1:18" x14ac:dyDescent="0.25">
      <c r="A62" s="4" t="s">
        <v>113</v>
      </c>
      <c r="B62" s="5" t="s">
        <v>114</v>
      </c>
      <c r="C62" s="6">
        <v>1000000</v>
      </c>
      <c r="D62" s="11"/>
      <c r="E62" s="12">
        <f t="shared" si="2"/>
        <v>1000000</v>
      </c>
      <c r="F62" s="12">
        <v>0</v>
      </c>
      <c r="G62" s="12">
        <v>0</v>
      </c>
      <c r="H62" s="12">
        <v>224562</v>
      </c>
      <c r="I62" s="12">
        <v>74854</v>
      </c>
      <c r="J62" s="12">
        <v>74854</v>
      </c>
      <c r="K62" s="12">
        <v>149708</v>
      </c>
      <c r="L62" s="12">
        <v>74854</v>
      </c>
      <c r="M62" s="12"/>
      <c r="N62" s="12"/>
      <c r="O62" s="12"/>
      <c r="P62" s="12"/>
      <c r="Q62" s="12">
        <v>149708</v>
      </c>
      <c r="R62" s="12">
        <f t="shared" si="3"/>
        <v>748540</v>
      </c>
    </row>
    <row r="63" spans="1:18" x14ac:dyDescent="0.25">
      <c r="A63" s="4" t="s">
        <v>115</v>
      </c>
      <c r="B63" s="5" t="s">
        <v>116</v>
      </c>
      <c r="C63" s="6">
        <v>300000</v>
      </c>
      <c r="D63" s="11"/>
      <c r="E63" s="12">
        <f t="shared" si="2"/>
        <v>300000</v>
      </c>
      <c r="F63" s="12">
        <v>0</v>
      </c>
      <c r="G63" s="12">
        <v>0</v>
      </c>
      <c r="H63" s="12">
        <v>0</v>
      </c>
      <c r="I63" s="12">
        <v>43511</v>
      </c>
      <c r="J63" s="12">
        <v>0</v>
      </c>
      <c r="K63" s="12">
        <v>0</v>
      </c>
      <c r="L63" s="12"/>
      <c r="M63" s="12"/>
      <c r="N63" s="12"/>
      <c r="O63" s="12"/>
      <c r="P63" s="12">
        <v>162984</v>
      </c>
      <c r="Q63" s="12">
        <v>0</v>
      </c>
      <c r="R63" s="12">
        <f t="shared" si="3"/>
        <v>206495</v>
      </c>
    </row>
    <row r="64" spans="1:18" x14ac:dyDescent="0.25">
      <c r="A64" s="4" t="s">
        <v>117</v>
      </c>
      <c r="B64" s="5" t="s">
        <v>118</v>
      </c>
      <c r="C64" s="6">
        <v>100000</v>
      </c>
      <c r="D64" s="11"/>
      <c r="E64" s="12">
        <f t="shared" si="2"/>
        <v>100000</v>
      </c>
      <c r="F64" s="12">
        <v>0</v>
      </c>
      <c r="G64" s="12">
        <v>0</v>
      </c>
      <c r="H64" s="12">
        <v>0</v>
      </c>
      <c r="I64" s="12">
        <v>0</v>
      </c>
      <c r="J64" s="12">
        <v>0</v>
      </c>
      <c r="K64" s="12">
        <v>0</v>
      </c>
      <c r="L64" s="12"/>
      <c r="M64" s="12"/>
      <c r="N64" s="12"/>
      <c r="O64" s="12"/>
      <c r="P64" s="12"/>
      <c r="Q64" s="12"/>
      <c r="R64" s="12">
        <f t="shared" si="3"/>
        <v>0</v>
      </c>
    </row>
    <row r="65" spans="1:25" x14ac:dyDescent="0.25">
      <c r="A65" s="4" t="s">
        <v>119</v>
      </c>
      <c r="B65" s="5" t="s">
        <v>120</v>
      </c>
      <c r="C65" s="6">
        <v>100000</v>
      </c>
      <c r="D65" s="11"/>
      <c r="E65" s="12">
        <f t="shared" si="2"/>
        <v>100000</v>
      </c>
      <c r="F65" s="12">
        <v>0</v>
      </c>
      <c r="G65" s="12">
        <v>0</v>
      </c>
      <c r="H65" s="12">
        <v>0</v>
      </c>
      <c r="I65" s="12">
        <v>0</v>
      </c>
      <c r="J65" s="12">
        <v>0</v>
      </c>
      <c r="K65" s="12">
        <v>0</v>
      </c>
      <c r="L65" s="12"/>
      <c r="M65" s="12"/>
      <c r="N65" s="12"/>
      <c r="O65" s="12"/>
      <c r="P65" s="12"/>
      <c r="Q65" s="12"/>
      <c r="R65" s="12">
        <f t="shared" si="3"/>
        <v>0</v>
      </c>
    </row>
    <row r="66" spans="1:25" x14ac:dyDescent="0.25">
      <c r="A66" s="4" t="s">
        <v>121</v>
      </c>
      <c r="B66" s="5" t="s">
        <v>122</v>
      </c>
      <c r="C66" s="6">
        <v>100000</v>
      </c>
      <c r="D66" s="11"/>
      <c r="E66" s="12">
        <f t="shared" si="2"/>
        <v>100000</v>
      </c>
      <c r="F66" s="12">
        <v>0</v>
      </c>
      <c r="G66" s="12">
        <v>0</v>
      </c>
      <c r="H66" s="12">
        <v>0</v>
      </c>
      <c r="I66" s="12">
        <v>0</v>
      </c>
      <c r="J66" s="12">
        <v>0</v>
      </c>
      <c r="K66" s="12">
        <v>0</v>
      </c>
      <c r="L66" s="12"/>
      <c r="M66" s="12"/>
      <c r="N66" s="12"/>
      <c r="O66" s="12"/>
      <c r="P66" s="12"/>
      <c r="Q66" s="12"/>
      <c r="R66" s="12">
        <f t="shared" si="3"/>
        <v>0</v>
      </c>
    </row>
    <row r="67" spans="1:25" x14ac:dyDescent="0.25">
      <c r="A67" s="4" t="s">
        <v>123</v>
      </c>
      <c r="B67" s="5" t="s">
        <v>124</v>
      </c>
      <c r="C67" s="6">
        <v>100000</v>
      </c>
      <c r="D67" s="11"/>
      <c r="E67" s="12">
        <f t="shared" si="2"/>
        <v>100000</v>
      </c>
      <c r="F67" s="12">
        <v>0</v>
      </c>
      <c r="G67" s="12">
        <v>0</v>
      </c>
      <c r="H67" s="12">
        <v>0</v>
      </c>
      <c r="I67" s="12">
        <v>0</v>
      </c>
      <c r="J67" s="12">
        <v>0</v>
      </c>
      <c r="K67" s="12">
        <v>0</v>
      </c>
      <c r="L67" s="12"/>
      <c r="M67" s="12"/>
      <c r="N67" s="12"/>
      <c r="O67" s="12"/>
      <c r="P67" s="12"/>
      <c r="Q67" s="12"/>
      <c r="R67" s="12">
        <f t="shared" si="3"/>
        <v>0</v>
      </c>
    </row>
    <row r="68" spans="1:25" x14ac:dyDescent="0.25">
      <c r="A68" s="4" t="s">
        <v>125</v>
      </c>
      <c r="B68" s="5" t="s">
        <v>126</v>
      </c>
      <c r="C68" s="6">
        <v>2000000000</v>
      </c>
      <c r="D68" s="11"/>
      <c r="E68" s="12">
        <f t="shared" si="2"/>
        <v>2000000000</v>
      </c>
      <c r="F68" s="12">
        <v>0</v>
      </c>
      <c r="G68" s="12">
        <v>0</v>
      </c>
      <c r="H68" s="12">
        <v>0</v>
      </c>
      <c r="I68" s="12">
        <v>0</v>
      </c>
      <c r="J68" s="12">
        <v>0</v>
      </c>
      <c r="K68" s="12">
        <v>0</v>
      </c>
      <c r="L68" s="12"/>
      <c r="M68" s="12"/>
      <c r="N68" s="12"/>
      <c r="O68" s="12"/>
      <c r="P68" s="12"/>
      <c r="Q68" s="12">
        <v>174908460</v>
      </c>
      <c r="R68" s="12">
        <f t="shared" si="3"/>
        <v>174908460</v>
      </c>
    </row>
    <row r="69" spans="1:25" x14ac:dyDescent="0.25">
      <c r="A69" s="4" t="s">
        <v>127</v>
      </c>
      <c r="B69" s="5" t="s">
        <v>128</v>
      </c>
      <c r="C69" s="6">
        <v>100000</v>
      </c>
      <c r="D69" s="11"/>
      <c r="E69" s="12">
        <f t="shared" si="2"/>
        <v>100000</v>
      </c>
      <c r="F69" s="12">
        <v>0</v>
      </c>
      <c r="G69" s="12">
        <v>0</v>
      </c>
      <c r="H69" s="12">
        <v>0</v>
      </c>
      <c r="I69" s="12">
        <v>0</v>
      </c>
      <c r="J69" s="12">
        <v>0</v>
      </c>
      <c r="K69" s="12">
        <v>0</v>
      </c>
      <c r="L69" s="12"/>
      <c r="M69" s="12">
        <v>131510</v>
      </c>
      <c r="N69" s="12"/>
      <c r="O69" s="12">
        <v>157812</v>
      </c>
      <c r="P69" s="12"/>
      <c r="Q69" s="12"/>
      <c r="R69" s="12">
        <f t="shared" si="3"/>
        <v>289322</v>
      </c>
    </row>
    <row r="70" spans="1:25" x14ac:dyDescent="0.25">
      <c r="A70" s="4" t="s">
        <v>129</v>
      </c>
      <c r="B70" s="5" t="s">
        <v>130</v>
      </c>
      <c r="C70" s="6">
        <v>15000000</v>
      </c>
      <c r="D70" s="11"/>
      <c r="E70" s="12">
        <f t="shared" si="2"/>
        <v>15000000</v>
      </c>
      <c r="F70" s="12">
        <v>3438076</v>
      </c>
      <c r="G70" s="12">
        <v>3298780</v>
      </c>
      <c r="H70" s="12">
        <v>1582028</v>
      </c>
      <c r="I70" s="12">
        <v>3940812</v>
      </c>
      <c r="J70" s="12">
        <v>2511096</v>
      </c>
      <c r="K70" s="12">
        <v>3951740</v>
      </c>
      <c r="L70" s="12">
        <v>4717568</v>
      </c>
      <c r="M70" s="12">
        <v>5691544</v>
      </c>
      <c r="N70" s="12">
        <v>4869880</v>
      </c>
      <c r="O70" s="12">
        <v>3642848</v>
      </c>
      <c r="P70" s="12">
        <v>4633216</v>
      </c>
      <c r="Q70" s="12">
        <v>3619796</v>
      </c>
      <c r="R70" s="12">
        <f t="shared" si="3"/>
        <v>45897384</v>
      </c>
      <c r="T70" s="60"/>
    </row>
    <row r="71" spans="1:25" x14ac:dyDescent="0.25">
      <c r="A71" s="4" t="s">
        <v>131</v>
      </c>
      <c r="B71" s="5" t="s">
        <v>132</v>
      </c>
      <c r="C71" s="6">
        <v>100000</v>
      </c>
      <c r="D71" s="11"/>
      <c r="E71" s="12">
        <f t="shared" si="2"/>
        <v>100000</v>
      </c>
      <c r="F71" s="12">
        <v>0</v>
      </c>
      <c r="G71" s="12">
        <v>0</v>
      </c>
      <c r="H71" s="12">
        <v>0</v>
      </c>
      <c r="I71" s="12">
        <v>0</v>
      </c>
      <c r="J71" s="12"/>
      <c r="K71" s="12"/>
      <c r="L71" s="12"/>
      <c r="M71" s="12"/>
      <c r="N71" s="12"/>
      <c r="O71" s="12"/>
      <c r="P71" s="12"/>
      <c r="Q71" s="12"/>
      <c r="R71" s="12">
        <f t="shared" si="3"/>
        <v>0</v>
      </c>
    </row>
    <row r="72" spans="1:25" x14ac:dyDescent="0.25">
      <c r="A72" s="4" t="s">
        <v>133</v>
      </c>
      <c r="B72" s="5" t="s">
        <v>134</v>
      </c>
      <c r="C72" s="6">
        <v>9000000</v>
      </c>
      <c r="D72" s="11"/>
      <c r="E72" s="12">
        <f t="shared" si="2"/>
        <v>9000000</v>
      </c>
      <c r="F72" s="12"/>
      <c r="G72" s="12">
        <v>1564897</v>
      </c>
      <c r="H72" s="12">
        <v>987564</v>
      </c>
      <c r="I72" s="12">
        <v>689742</v>
      </c>
      <c r="J72" s="12">
        <f>4140585+1867954</f>
        <v>6008539</v>
      </c>
      <c r="K72" s="12">
        <f>828117+351876+2922022</f>
        <v>4102015</v>
      </c>
      <c r="L72" s="12"/>
      <c r="M72" s="12"/>
      <c r="N72" s="12">
        <v>3368601</v>
      </c>
      <c r="O72" s="12">
        <v>4968702</v>
      </c>
      <c r="P72" s="12">
        <f>3289720+4140585</f>
        <v>7430305</v>
      </c>
      <c r="Q72" s="12"/>
      <c r="R72" s="12">
        <f t="shared" si="3"/>
        <v>29120365</v>
      </c>
    </row>
    <row r="73" spans="1:25" x14ac:dyDescent="0.25">
      <c r="A73" s="1"/>
      <c r="B73" s="2" t="s">
        <v>135</v>
      </c>
      <c r="C73" s="3">
        <f>C6+C8</f>
        <v>8500000000</v>
      </c>
      <c r="D73" s="11"/>
      <c r="E73" s="3">
        <f t="shared" ref="E73:R73" si="4">E6+E8</f>
        <v>8500000000</v>
      </c>
      <c r="F73" s="3">
        <f t="shared" si="4"/>
        <v>291909731</v>
      </c>
      <c r="G73" s="3">
        <f t="shared" si="4"/>
        <v>402356995</v>
      </c>
      <c r="H73" s="3">
        <f t="shared" si="4"/>
        <v>412092485</v>
      </c>
      <c r="I73" s="3">
        <f t="shared" si="4"/>
        <v>501621293</v>
      </c>
      <c r="J73" s="3">
        <f t="shared" si="4"/>
        <v>478943241</v>
      </c>
      <c r="K73" s="3">
        <f t="shared" si="4"/>
        <v>519512819</v>
      </c>
      <c r="L73" s="3">
        <f t="shared" si="4"/>
        <v>652169381</v>
      </c>
      <c r="M73" s="3">
        <f t="shared" si="4"/>
        <v>287787809</v>
      </c>
      <c r="N73" s="3">
        <f t="shared" si="4"/>
        <v>245120351</v>
      </c>
      <c r="O73" s="3">
        <f t="shared" si="4"/>
        <v>262545274</v>
      </c>
      <c r="P73" s="3">
        <f t="shared" si="4"/>
        <v>278251492</v>
      </c>
      <c r="Q73" s="3">
        <f t="shared" si="4"/>
        <v>435204080</v>
      </c>
      <c r="R73" s="3">
        <f t="shared" si="4"/>
        <v>4767514951</v>
      </c>
    </row>
    <row r="74" spans="1:25" x14ac:dyDescent="0.25">
      <c r="A74" s="1">
        <v>2</v>
      </c>
      <c r="B74" s="7" t="s">
        <v>136</v>
      </c>
      <c r="C74" s="8"/>
      <c r="D74" s="11"/>
      <c r="E74" s="11"/>
    </row>
    <row r="75" spans="1:25" x14ac:dyDescent="0.25">
      <c r="A75" s="1">
        <v>2.1</v>
      </c>
      <c r="B75" s="2" t="s">
        <v>137</v>
      </c>
      <c r="C75" s="3">
        <v>0</v>
      </c>
      <c r="D75" s="11"/>
      <c r="E75" s="3">
        <v>0</v>
      </c>
      <c r="U75" s="50"/>
      <c r="V75" s="50"/>
      <c r="W75" s="50"/>
      <c r="X75" s="50"/>
    </row>
    <row r="76" spans="1:25" x14ac:dyDescent="0.25">
      <c r="A76" s="1">
        <v>2.2000000000000002</v>
      </c>
      <c r="B76" s="2" t="s">
        <v>138</v>
      </c>
      <c r="C76" s="3">
        <v>10000000</v>
      </c>
      <c r="D76" s="11"/>
      <c r="E76" s="3">
        <v>10000000</v>
      </c>
      <c r="F76" s="3">
        <v>0</v>
      </c>
      <c r="G76" s="3">
        <v>0</v>
      </c>
      <c r="H76" s="3">
        <v>0</v>
      </c>
      <c r="I76" s="3"/>
      <c r="J76" s="3"/>
      <c r="K76" s="3"/>
      <c r="L76" s="3"/>
      <c r="M76" s="3"/>
      <c r="N76" s="3"/>
      <c r="O76" s="3"/>
      <c r="P76" s="3"/>
      <c r="Q76" s="3"/>
      <c r="R76" s="3">
        <v>0</v>
      </c>
      <c r="U76" s="50"/>
      <c r="V76" s="50"/>
      <c r="W76" s="50"/>
      <c r="X76" s="50"/>
    </row>
    <row r="77" spans="1:25" ht="20.25" customHeight="1" x14ac:dyDescent="0.25">
      <c r="A77" s="1">
        <v>2.2999999999999998</v>
      </c>
      <c r="B77" s="2" t="s">
        <v>139</v>
      </c>
      <c r="C77" s="3">
        <f>SUM(C78:C81)</f>
        <v>3200000000</v>
      </c>
      <c r="D77" s="11"/>
      <c r="E77" s="3">
        <f t="shared" ref="E77:R77" si="5">SUM(E78:E81)</f>
        <v>3200000000</v>
      </c>
      <c r="F77" s="3">
        <f t="shared" si="5"/>
        <v>197869634</v>
      </c>
      <c r="G77" s="3">
        <f t="shared" si="5"/>
        <v>215741174</v>
      </c>
      <c r="H77" s="3">
        <f t="shared" si="5"/>
        <v>257871476</v>
      </c>
      <c r="I77" s="3">
        <f t="shared" si="5"/>
        <v>180037481</v>
      </c>
      <c r="J77" s="3">
        <f t="shared" si="5"/>
        <v>186488024</v>
      </c>
      <c r="K77" s="3">
        <f t="shared" si="5"/>
        <v>335286750</v>
      </c>
      <c r="L77" s="3">
        <f t="shared" si="5"/>
        <v>444885769</v>
      </c>
      <c r="M77" s="3">
        <f t="shared" si="5"/>
        <v>341778845</v>
      </c>
      <c r="N77" s="3">
        <f t="shared" si="5"/>
        <v>380069868</v>
      </c>
      <c r="O77" s="3">
        <f t="shared" si="5"/>
        <v>354272278</v>
      </c>
      <c r="P77" s="3">
        <f t="shared" si="5"/>
        <v>273976342</v>
      </c>
      <c r="Q77" s="3">
        <f t="shared" si="5"/>
        <v>246338936</v>
      </c>
      <c r="R77" s="3">
        <f t="shared" si="5"/>
        <v>3414616577</v>
      </c>
      <c r="S77" s="67"/>
      <c r="T77" s="68"/>
      <c r="U77" s="50"/>
      <c r="V77" s="50"/>
      <c r="W77" s="50"/>
      <c r="X77" s="50"/>
      <c r="Y77" s="65"/>
    </row>
    <row r="78" spans="1:25" x14ac:dyDescent="0.25">
      <c r="A78" s="4" t="s">
        <v>140</v>
      </c>
      <c r="B78" s="5" t="s">
        <v>141</v>
      </c>
      <c r="C78" s="6">
        <v>1400000000</v>
      </c>
      <c r="D78" s="11"/>
      <c r="E78" s="12">
        <f t="shared" ref="E78:E81" si="6">C78+D78</f>
        <v>1400000000</v>
      </c>
      <c r="F78" s="12">
        <v>92568754</v>
      </c>
      <c r="G78" s="12">
        <v>118954621</v>
      </c>
      <c r="H78" s="12">
        <v>129568462</v>
      </c>
      <c r="I78" s="12">
        <f>62628993+17640589</f>
        <v>80269582</v>
      </c>
      <c r="J78" s="12">
        <f>60140598+13220333</f>
        <v>73360931</v>
      </c>
      <c r="K78" s="12">
        <f>87487926+21157692</f>
        <v>108645618</v>
      </c>
      <c r="L78" s="12">
        <f>164478146+10157557</f>
        <v>174635703</v>
      </c>
      <c r="M78" s="12">
        <f>29540384+79278014</f>
        <v>108818398</v>
      </c>
      <c r="N78" s="12">
        <f>99527395+20207772</f>
        <v>119735167</v>
      </c>
      <c r="O78" s="12">
        <f>102914632+14753200</f>
        <v>117667832</v>
      </c>
      <c r="P78" s="12">
        <f>924+285828+75820220+11893994</f>
        <v>88000966</v>
      </c>
      <c r="Q78" s="12">
        <f>1092+87857458+8812821</f>
        <v>96671371</v>
      </c>
      <c r="R78" s="12">
        <f t="shared" ref="R78:R83" si="7">F78+G78+H78+I78+J78+K78+L78+M78+N78+O78+P78+Q78</f>
        <v>1308897405</v>
      </c>
      <c r="U78" s="50"/>
      <c r="V78" s="50"/>
      <c r="W78" s="50"/>
      <c r="X78" s="50"/>
      <c r="Y78" s="65"/>
    </row>
    <row r="79" spans="1:25" x14ac:dyDescent="0.25">
      <c r="A79" s="4" t="s">
        <v>142</v>
      </c>
      <c r="B79" s="5" t="s">
        <v>243</v>
      </c>
      <c r="C79" s="6">
        <v>520000000</v>
      </c>
      <c r="D79" s="11"/>
      <c r="E79" s="12">
        <f t="shared" si="6"/>
        <v>520000000</v>
      </c>
      <c r="F79" s="12">
        <f>12841262+28975643</f>
        <v>41816905</v>
      </c>
      <c r="G79" s="12">
        <f>14109334+29875644</f>
        <v>43984978</v>
      </c>
      <c r="H79" s="12">
        <v>51698712</v>
      </c>
      <c r="I79" s="12">
        <f>41717920</f>
        <v>41717920</v>
      </c>
      <c r="J79" s="12">
        <f>38766919+21905590</f>
        <v>60672509</v>
      </c>
      <c r="K79" s="12">
        <f>79294641+28124993</f>
        <v>107419634</v>
      </c>
      <c r="L79" s="12">
        <v>137312066</v>
      </c>
      <c r="M79" s="12">
        <f>89388200+26672343</f>
        <v>116060543</v>
      </c>
      <c r="N79" s="12">
        <f>87553503+30290696</f>
        <v>117844199</v>
      </c>
      <c r="O79" s="12">
        <f>72744406+35710550</f>
        <v>108454956</v>
      </c>
      <c r="P79" s="12">
        <f>52628747+31737453</f>
        <v>84366200</v>
      </c>
      <c r="Q79" s="12">
        <f>49296220+35165428</f>
        <v>84461648</v>
      </c>
      <c r="R79" s="12">
        <f t="shared" si="7"/>
        <v>995810270</v>
      </c>
      <c r="U79" s="50"/>
      <c r="V79" s="50"/>
      <c r="W79" s="50"/>
      <c r="X79" s="50"/>
      <c r="Y79" s="65"/>
    </row>
    <row r="80" spans="1:25" x14ac:dyDescent="0.25">
      <c r="A80" s="4" t="s">
        <v>143</v>
      </c>
      <c r="B80" s="5" t="s">
        <v>144</v>
      </c>
      <c r="C80" s="6">
        <v>630000000</v>
      </c>
      <c r="D80" s="11"/>
      <c r="E80" s="12">
        <f t="shared" si="6"/>
        <v>630000000</v>
      </c>
      <c r="F80" s="12">
        <v>38796421</v>
      </c>
      <c r="G80" s="12">
        <v>32546789</v>
      </c>
      <c r="H80" s="12">
        <v>39875642</v>
      </c>
      <c r="I80" s="12">
        <v>21715204</v>
      </c>
      <c r="J80" s="12">
        <v>19875642</v>
      </c>
      <c r="K80" s="12">
        <v>47137935</v>
      </c>
      <c r="L80" s="12">
        <f>241119+2762+58794621</f>
        <v>59038502</v>
      </c>
      <c r="M80" s="12">
        <f>39785842</f>
        <v>39785842</v>
      </c>
      <c r="N80" s="12">
        <v>63541673</v>
      </c>
      <c r="O80" s="12">
        <v>67616849</v>
      </c>
      <c r="P80" s="12">
        <v>56446569</v>
      </c>
      <c r="Q80" s="12">
        <v>65036161</v>
      </c>
      <c r="R80" s="12">
        <f t="shared" si="7"/>
        <v>551413229</v>
      </c>
      <c r="U80" s="50"/>
      <c r="V80" s="50"/>
      <c r="W80" s="50"/>
      <c r="X80" s="50"/>
      <c r="Y80" s="65"/>
    </row>
    <row r="81" spans="1:25" x14ac:dyDescent="0.25">
      <c r="A81" s="4" t="s">
        <v>145</v>
      </c>
      <c r="B81" s="5" t="s">
        <v>146</v>
      </c>
      <c r="C81" s="6">
        <v>650000000</v>
      </c>
      <c r="D81" s="11"/>
      <c r="E81" s="12">
        <f t="shared" si="6"/>
        <v>650000000</v>
      </c>
      <c r="F81" s="12">
        <v>24687554</v>
      </c>
      <c r="G81" s="12">
        <v>20254786</v>
      </c>
      <c r="H81" s="12">
        <v>36728660</v>
      </c>
      <c r="I81" s="12">
        <v>36334775</v>
      </c>
      <c r="J81" s="12">
        <v>32578942</v>
      </c>
      <c r="K81" s="12">
        <v>72083563</v>
      </c>
      <c r="L81" s="12">
        <v>73899498</v>
      </c>
      <c r="M81" s="12">
        <f>52792458+24321604</f>
        <v>77114062</v>
      </c>
      <c r="N81" s="12">
        <f>1350+515656+78431823</f>
        <v>78948829</v>
      </c>
      <c r="O81" s="12">
        <f>241394+60291247</f>
        <v>60532641</v>
      </c>
      <c r="P81" s="12">
        <f>1593284+3571162+39998161</f>
        <v>45162607</v>
      </c>
      <c r="Q81" s="12">
        <v>169756</v>
      </c>
      <c r="R81" s="12">
        <f t="shared" si="7"/>
        <v>558495673</v>
      </c>
      <c r="U81" s="50"/>
      <c r="V81" s="50"/>
      <c r="W81" s="50"/>
      <c r="X81" s="50"/>
      <c r="Y81" s="65"/>
    </row>
    <row r="82" spans="1:25" x14ac:dyDescent="0.25">
      <c r="A82" s="4" t="s">
        <v>147</v>
      </c>
      <c r="B82" s="2" t="s">
        <v>148</v>
      </c>
      <c r="C82" s="3">
        <v>12000000</v>
      </c>
      <c r="D82" s="11"/>
      <c r="E82" s="3">
        <v>12000000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  <c r="L82" s="3">
        <v>0</v>
      </c>
      <c r="M82" s="3">
        <v>0</v>
      </c>
      <c r="N82" s="3">
        <v>0</v>
      </c>
      <c r="O82" s="3">
        <v>0</v>
      </c>
      <c r="P82" s="3">
        <v>0</v>
      </c>
      <c r="Q82" s="3">
        <v>0</v>
      </c>
      <c r="R82" s="3">
        <v>0</v>
      </c>
      <c r="U82" s="50"/>
      <c r="V82" s="50"/>
      <c r="W82" s="50"/>
      <c r="X82" s="50"/>
    </row>
    <row r="83" spans="1:25" x14ac:dyDescent="0.25">
      <c r="A83" s="4" t="s">
        <v>149</v>
      </c>
      <c r="B83" s="2" t="s">
        <v>150</v>
      </c>
      <c r="C83" s="3">
        <v>1000000</v>
      </c>
      <c r="D83" s="11"/>
      <c r="E83" s="3">
        <v>1000000</v>
      </c>
      <c r="F83" s="36">
        <v>0</v>
      </c>
      <c r="G83" s="36">
        <v>0</v>
      </c>
      <c r="H83" s="36">
        <v>0</v>
      </c>
      <c r="I83" s="36">
        <v>0</v>
      </c>
      <c r="J83" s="36">
        <v>0</v>
      </c>
      <c r="K83" s="36">
        <v>0</v>
      </c>
      <c r="L83" s="36">
        <v>0</v>
      </c>
      <c r="M83" s="36">
        <v>0</v>
      </c>
      <c r="N83" s="36">
        <v>0</v>
      </c>
      <c r="O83" s="36">
        <v>0</v>
      </c>
      <c r="P83" s="36">
        <v>0</v>
      </c>
      <c r="Q83" s="36"/>
      <c r="R83" s="12">
        <f t="shared" si="7"/>
        <v>0</v>
      </c>
      <c r="U83" s="50"/>
      <c r="V83" s="50"/>
      <c r="W83" s="50"/>
      <c r="X83" s="50"/>
    </row>
    <row r="84" spans="1:25" x14ac:dyDescent="0.25">
      <c r="A84" s="1"/>
      <c r="B84" s="7" t="s">
        <v>151</v>
      </c>
      <c r="C84" s="9">
        <f>+C75+C76+C77+C82+C83</f>
        <v>3223000000</v>
      </c>
      <c r="D84" s="11"/>
      <c r="E84" s="9">
        <f t="shared" ref="E84:R84" si="8">+E75+E76+E77+E82+E83</f>
        <v>3223000000</v>
      </c>
      <c r="F84" s="9">
        <f t="shared" si="8"/>
        <v>197869634</v>
      </c>
      <c r="G84" s="9">
        <f t="shared" si="8"/>
        <v>215741174</v>
      </c>
      <c r="H84" s="9">
        <f t="shared" si="8"/>
        <v>257871476</v>
      </c>
      <c r="I84" s="9">
        <f t="shared" si="8"/>
        <v>180037481</v>
      </c>
      <c r="J84" s="9">
        <f t="shared" si="8"/>
        <v>186488024</v>
      </c>
      <c r="K84" s="9">
        <f t="shared" si="8"/>
        <v>335286750</v>
      </c>
      <c r="L84" s="9">
        <f t="shared" si="8"/>
        <v>444885769</v>
      </c>
      <c r="M84" s="9">
        <f t="shared" si="8"/>
        <v>341778845</v>
      </c>
      <c r="N84" s="9">
        <f t="shared" si="8"/>
        <v>380069868</v>
      </c>
      <c r="O84" s="9">
        <f t="shared" si="8"/>
        <v>354272278</v>
      </c>
      <c r="P84" s="9">
        <f t="shared" si="8"/>
        <v>273976342</v>
      </c>
      <c r="Q84" s="9">
        <f t="shared" si="8"/>
        <v>246338936</v>
      </c>
      <c r="R84" s="9">
        <f t="shared" si="8"/>
        <v>3414616577</v>
      </c>
    </row>
    <row r="85" spans="1:25" ht="15.75" x14ac:dyDescent="0.25">
      <c r="A85" s="70" t="s">
        <v>152</v>
      </c>
      <c r="B85" s="71"/>
      <c r="C85" s="10">
        <f>+C73+C84</f>
        <v>11723000000</v>
      </c>
      <c r="D85" s="11"/>
      <c r="E85" s="10">
        <f t="shared" ref="E85:R85" si="9">+E73+E84</f>
        <v>11723000000</v>
      </c>
      <c r="F85" s="10">
        <f t="shared" si="9"/>
        <v>489779365</v>
      </c>
      <c r="G85" s="10">
        <f t="shared" si="9"/>
        <v>618098169</v>
      </c>
      <c r="H85" s="10">
        <f t="shared" si="9"/>
        <v>669963961</v>
      </c>
      <c r="I85" s="10">
        <f t="shared" si="9"/>
        <v>681658774</v>
      </c>
      <c r="J85" s="10">
        <f t="shared" si="9"/>
        <v>665431265</v>
      </c>
      <c r="K85" s="10">
        <f t="shared" si="9"/>
        <v>854799569</v>
      </c>
      <c r="L85" s="10">
        <f t="shared" si="9"/>
        <v>1097055150</v>
      </c>
      <c r="M85" s="10">
        <f t="shared" si="9"/>
        <v>629566654</v>
      </c>
      <c r="N85" s="10">
        <f t="shared" si="9"/>
        <v>625190219</v>
      </c>
      <c r="O85" s="10">
        <f t="shared" si="9"/>
        <v>616817552</v>
      </c>
      <c r="P85" s="10">
        <f t="shared" si="9"/>
        <v>552227834</v>
      </c>
      <c r="Q85" s="10">
        <f t="shared" si="9"/>
        <v>681543016</v>
      </c>
      <c r="R85" s="10">
        <f t="shared" si="9"/>
        <v>8182131528</v>
      </c>
      <c r="U85" s="43"/>
    </row>
    <row r="87" spans="1:25" x14ac:dyDescent="0.25">
      <c r="C87" s="43"/>
      <c r="P87" s="43"/>
      <c r="R87" s="43"/>
    </row>
    <row r="88" spans="1:25" x14ac:dyDescent="0.25">
      <c r="C88" s="43"/>
      <c r="G88" s="48"/>
      <c r="N88" s="43"/>
      <c r="P88" s="43"/>
      <c r="R88" s="43"/>
    </row>
    <row r="89" spans="1:25" x14ac:dyDescent="0.25">
      <c r="J89" s="43"/>
      <c r="K89" s="43"/>
      <c r="L89" s="43"/>
      <c r="N89" s="43"/>
      <c r="O89" s="43"/>
      <c r="P89" s="43"/>
      <c r="Q89" s="43"/>
      <c r="R89" s="43"/>
    </row>
    <row r="90" spans="1:25" x14ac:dyDescent="0.25">
      <c r="C90" s="43"/>
      <c r="E90" s="43"/>
      <c r="P90" s="43"/>
      <c r="R90" s="43"/>
    </row>
    <row r="91" spans="1:25" x14ac:dyDescent="0.25">
      <c r="P91" s="43"/>
    </row>
    <row r="92" spans="1:25" x14ac:dyDescent="0.25">
      <c r="P92" s="43"/>
    </row>
    <row r="93" spans="1:25" x14ac:dyDescent="0.25">
      <c r="P93" s="43"/>
    </row>
    <row r="94" spans="1:25" x14ac:dyDescent="0.25">
      <c r="P94" s="43"/>
    </row>
    <row r="95" spans="1:25" x14ac:dyDescent="0.25">
      <c r="P95" s="43"/>
    </row>
    <row r="96" spans="1:25" x14ac:dyDescent="0.25">
      <c r="P96" s="43"/>
    </row>
    <row r="99" spans="10:17" x14ac:dyDescent="0.25">
      <c r="J99" s="56"/>
      <c r="K99" s="56"/>
      <c r="L99" s="56"/>
      <c r="N99" s="56"/>
      <c r="O99" s="56"/>
      <c r="P99" s="56"/>
      <c r="Q99" s="56"/>
    </row>
    <row r="100" spans="10:17" x14ac:dyDescent="0.25">
      <c r="J100" s="56"/>
      <c r="K100" s="56"/>
      <c r="L100" s="56"/>
      <c r="N100" s="56"/>
      <c r="O100" s="56"/>
      <c r="P100" s="56"/>
      <c r="Q100" s="56"/>
    </row>
    <row r="101" spans="10:17" x14ac:dyDescent="0.25">
      <c r="J101" s="56"/>
      <c r="K101" s="56"/>
      <c r="L101" s="56"/>
      <c r="M101" s="56"/>
      <c r="N101" s="56"/>
      <c r="O101" s="56"/>
      <c r="P101" s="56"/>
      <c r="Q101" s="56"/>
    </row>
    <row r="102" spans="10:17" x14ac:dyDescent="0.25">
      <c r="J102" s="56"/>
      <c r="K102" s="56"/>
      <c r="L102" s="56"/>
      <c r="M102" s="56"/>
      <c r="N102" s="56"/>
      <c r="O102" s="56"/>
      <c r="P102" s="56"/>
      <c r="Q102" s="56"/>
    </row>
    <row r="103" spans="10:17" x14ac:dyDescent="0.25">
      <c r="J103" s="56"/>
      <c r="K103" s="56"/>
      <c r="L103" s="56"/>
      <c r="M103" s="56"/>
      <c r="N103" s="56"/>
      <c r="O103" s="56"/>
      <c r="P103" s="56"/>
      <c r="Q103" s="56"/>
    </row>
    <row r="123" s="50" customFormat="1" x14ac:dyDescent="0.25"/>
  </sheetData>
  <mergeCells count="21">
    <mergeCell ref="M4:M5"/>
    <mergeCell ref="N4:N5"/>
    <mergeCell ref="O4:O5"/>
    <mergeCell ref="P4:P5"/>
    <mergeCell ref="B1:R1"/>
    <mergeCell ref="B2:R2"/>
    <mergeCell ref="G4:G5"/>
    <mergeCell ref="R4:R5"/>
    <mergeCell ref="K4:K5"/>
    <mergeCell ref="H4:H5"/>
    <mergeCell ref="I4:I5"/>
    <mergeCell ref="J4:J5"/>
    <mergeCell ref="L4:L5"/>
    <mergeCell ref="Q4:Q5"/>
    <mergeCell ref="A85:B85"/>
    <mergeCell ref="D4:D5"/>
    <mergeCell ref="E4:E5"/>
    <mergeCell ref="F4:F5"/>
    <mergeCell ref="A4:A5"/>
    <mergeCell ref="B4:B5"/>
    <mergeCell ref="C4:C5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5" scale="70" orientation="portrait" verticalDpi="0" r:id="rId1"/>
  <ignoredErrors>
    <ignoredError sqref="H77" formulaRange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8"/>
  <sheetViews>
    <sheetView tabSelected="1" workbookViewId="0">
      <pane ySplit="2" topLeftCell="A15" activePane="bottomLeft" state="frozen"/>
      <selection pane="bottomLeft" activeCell="D23" sqref="D23"/>
    </sheetView>
  </sheetViews>
  <sheetFormatPr baseColWidth="10" defaultRowHeight="15" x14ac:dyDescent="0.25"/>
  <cols>
    <col min="1" max="1" width="12.28515625" customWidth="1"/>
    <col min="2" max="2" width="54" customWidth="1"/>
    <col min="3" max="3" width="24.140625" customWidth="1"/>
    <col min="4" max="4" width="18.85546875" customWidth="1"/>
    <col min="5" max="5" width="21.28515625" customWidth="1"/>
    <col min="7" max="7" width="22.7109375" customWidth="1"/>
    <col min="8" max="8" width="18.7109375" bestFit="1" customWidth="1"/>
    <col min="9" max="9" width="19.28515625" bestFit="1" customWidth="1"/>
    <col min="10" max="12" width="18.7109375" bestFit="1" customWidth="1"/>
    <col min="13" max="15" width="18.7109375" style="50" bestFit="1" customWidth="1"/>
    <col min="16" max="16" width="21.42578125" style="50" bestFit="1" customWidth="1"/>
    <col min="17" max="19" width="18.5703125" style="50" customWidth="1"/>
    <col min="20" max="20" width="22.85546875" customWidth="1"/>
    <col min="21" max="21" width="12.5703125" bestFit="1" customWidth="1"/>
  </cols>
  <sheetData>
    <row r="1" spans="1:21" ht="15" customHeight="1" x14ac:dyDescent="0.25">
      <c r="A1" s="75" t="s">
        <v>156</v>
      </c>
      <c r="B1" s="75" t="s">
        <v>157</v>
      </c>
      <c r="C1" s="75" t="s">
        <v>158</v>
      </c>
      <c r="D1" s="79" t="s">
        <v>231</v>
      </c>
      <c r="E1" s="80"/>
      <c r="F1" s="75" t="s">
        <v>232</v>
      </c>
      <c r="G1" s="75" t="s">
        <v>236</v>
      </c>
      <c r="H1" s="75" t="s">
        <v>233</v>
      </c>
      <c r="I1" s="75" t="s">
        <v>238</v>
      </c>
      <c r="J1" s="75" t="s">
        <v>239</v>
      </c>
      <c r="K1" s="75" t="s">
        <v>241</v>
      </c>
      <c r="L1" s="75" t="s">
        <v>250</v>
      </c>
      <c r="M1" s="75" t="s">
        <v>290</v>
      </c>
      <c r="N1" s="75" t="s">
        <v>293</v>
      </c>
      <c r="O1" s="75" t="s">
        <v>295</v>
      </c>
      <c r="P1" s="75" t="s">
        <v>301</v>
      </c>
      <c r="Q1" s="75" t="s">
        <v>302</v>
      </c>
      <c r="R1" s="75" t="s">
        <v>307</v>
      </c>
      <c r="S1" s="75" t="s">
        <v>308</v>
      </c>
      <c r="T1" s="75" t="s">
        <v>309</v>
      </c>
    </row>
    <row r="2" spans="1:21" x14ac:dyDescent="0.25">
      <c r="A2" s="77"/>
      <c r="B2" s="77"/>
      <c r="C2" s="77"/>
      <c r="D2" s="35" t="s">
        <v>234</v>
      </c>
      <c r="E2" s="35" t="s">
        <v>235</v>
      </c>
      <c r="F2" s="77"/>
      <c r="G2" s="77"/>
      <c r="H2" s="77"/>
      <c r="I2" s="77"/>
      <c r="J2" s="77"/>
      <c r="K2" s="77"/>
      <c r="L2" s="77"/>
      <c r="M2" s="77"/>
      <c r="N2" s="76"/>
      <c r="O2" s="76"/>
      <c r="P2" s="76"/>
      <c r="Q2" s="76"/>
      <c r="R2" s="76"/>
      <c r="S2" s="76"/>
      <c r="T2" s="77"/>
    </row>
    <row r="3" spans="1:21" ht="18.75" x14ac:dyDescent="0.3">
      <c r="A3" s="14">
        <v>3050</v>
      </c>
      <c r="B3" s="15" t="s">
        <v>159</v>
      </c>
      <c r="C3" s="11"/>
      <c r="D3" s="23"/>
      <c r="E3" s="23"/>
      <c r="F3" s="23"/>
      <c r="G3" s="38"/>
      <c r="H3" s="23"/>
      <c r="I3" s="11"/>
      <c r="J3" s="11"/>
      <c r="K3" s="11"/>
      <c r="L3" s="11"/>
      <c r="M3" s="52"/>
      <c r="N3" s="52"/>
      <c r="O3" s="52"/>
      <c r="P3" s="52"/>
      <c r="Q3" s="52"/>
      <c r="R3" s="52"/>
      <c r="S3" s="52"/>
      <c r="T3" s="11"/>
    </row>
    <row r="4" spans="1:21" ht="18.75" x14ac:dyDescent="0.4">
      <c r="A4" s="16">
        <v>30501</v>
      </c>
      <c r="B4" s="17" t="s">
        <v>160</v>
      </c>
      <c r="C4" s="11"/>
      <c r="D4" s="23"/>
      <c r="E4" s="23"/>
      <c r="F4" s="23"/>
      <c r="G4" s="38"/>
      <c r="H4" s="23"/>
      <c r="I4" s="11"/>
      <c r="J4" s="11"/>
      <c r="K4" s="11"/>
      <c r="L4" s="11"/>
      <c r="M4" s="52"/>
      <c r="N4" s="52"/>
      <c r="O4" s="52"/>
      <c r="P4" s="52"/>
      <c r="Q4" s="52"/>
      <c r="R4" s="52"/>
      <c r="S4" s="52"/>
      <c r="T4" s="11"/>
    </row>
    <row r="5" spans="1:21" ht="16.5" x14ac:dyDescent="0.3">
      <c r="A5" s="18">
        <v>30501180</v>
      </c>
      <c r="B5" s="19" t="s">
        <v>161</v>
      </c>
      <c r="C5" s="20">
        <f>SUM(C6:C16)</f>
        <v>4414000000</v>
      </c>
      <c r="D5" s="20">
        <f t="shared" ref="D5:G5" si="0">SUM(D6:D16)</f>
        <v>213700000</v>
      </c>
      <c r="E5" s="20">
        <f t="shared" si="0"/>
        <v>3000000</v>
      </c>
      <c r="F5" s="20">
        <f t="shared" si="0"/>
        <v>0</v>
      </c>
      <c r="G5" s="37">
        <f t="shared" si="0"/>
        <v>4624700000</v>
      </c>
      <c r="H5" s="20">
        <f t="shared" ref="H5:T5" si="1">SUM(H6:H16)</f>
        <v>312835304</v>
      </c>
      <c r="I5" s="20">
        <f t="shared" si="1"/>
        <v>316817902</v>
      </c>
      <c r="J5" s="20">
        <f t="shared" si="1"/>
        <v>327524833</v>
      </c>
      <c r="K5" s="20">
        <f t="shared" si="1"/>
        <v>323296947</v>
      </c>
      <c r="L5" s="20">
        <f t="shared" si="1"/>
        <v>324851883</v>
      </c>
      <c r="M5" s="20">
        <f t="shared" si="1"/>
        <v>296486436</v>
      </c>
      <c r="N5" s="20">
        <f t="shared" si="1"/>
        <v>452754487</v>
      </c>
      <c r="O5" s="20">
        <f t="shared" si="1"/>
        <v>351219490</v>
      </c>
      <c r="P5" s="20">
        <f t="shared" si="1"/>
        <v>305538656</v>
      </c>
      <c r="Q5" s="20">
        <f t="shared" si="1"/>
        <v>331502400</v>
      </c>
      <c r="R5" s="20">
        <f t="shared" si="1"/>
        <v>360382074</v>
      </c>
      <c r="S5" s="20">
        <f t="shared" si="1"/>
        <v>665768970</v>
      </c>
      <c r="T5" s="20">
        <f t="shared" si="1"/>
        <v>4368979382</v>
      </c>
    </row>
    <row r="6" spans="1:21" x14ac:dyDescent="0.25">
      <c r="A6" s="21">
        <v>30501180401</v>
      </c>
      <c r="B6" s="22" t="s">
        <v>162</v>
      </c>
      <c r="C6" s="23">
        <v>3258000000</v>
      </c>
      <c r="D6" s="23">
        <v>192000000</v>
      </c>
      <c r="E6" s="23"/>
      <c r="F6" s="23"/>
      <c r="G6" s="38">
        <f>C6+D6-E6+F6</f>
        <v>3450000000</v>
      </c>
      <c r="H6" s="23">
        <v>273348353</v>
      </c>
      <c r="I6" s="23">
        <v>275276309</v>
      </c>
      <c r="J6" s="23">
        <v>275918917</v>
      </c>
      <c r="K6" s="23">
        <v>265876942</v>
      </c>
      <c r="L6" s="23">
        <v>274205121</v>
      </c>
      <c r="M6" s="23">
        <v>252668395</v>
      </c>
      <c r="N6" s="23">
        <v>276726774</v>
      </c>
      <c r="O6" s="23">
        <v>285907052</v>
      </c>
      <c r="P6" s="23">
        <v>259862753</v>
      </c>
      <c r="Q6" s="23">
        <v>281552024</v>
      </c>
      <c r="R6" s="23">
        <v>287094312</v>
      </c>
      <c r="S6" s="23">
        <v>280210027</v>
      </c>
      <c r="T6" s="24">
        <f>H6+I6+J6+K6+L6+M6+N6+O6+P6+Q6+R6+S6</f>
        <v>3288646979</v>
      </c>
      <c r="U6" s="66"/>
    </row>
    <row r="7" spans="1:21" x14ac:dyDescent="0.25">
      <c r="A7" s="21">
        <v>30501180402</v>
      </c>
      <c r="B7" s="14" t="s">
        <v>163</v>
      </c>
      <c r="C7" s="24">
        <v>320000000</v>
      </c>
      <c r="D7" s="23">
        <v>3000000</v>
      </c>
      <c r="E7" s="23"/>
      <c r="F7" s="23"/>
      <c r="G7" s="38">
        <f t="shared" ref="G7:G28" si="2">C7+D7-E7+F7</f>
        <v>323000000</v>
      </c>
      <c r="H7" s="23"/>
      <c r="I7" s="23"/>
      <c r="J7" s="23"/>
      <c r="K7" s="23"/>
      <c r="L7" s="23"/>
      <c r="M7" s="23"/>
      <c r="N7" s="23">
        <v>1270814</v>
      </c>
      <c r="O7" s="23">
        <v>2564590</v>
      </c>
      <c r="P7" s="23"/>
      <c r="Q7" s="23"/>
      <c r="R7" s="23"/>
      <c r="S7" s="23">
        <v>310074473</v>
      </c>
      <c r="T7" s="24">
        <f t="shared" ref="T7:T28" si="3">H7+I7+J7+K7+L7+M7+N7+O7+P7+Q7+R7+S7</f>
        <v>313909877</v>
      </c>
    </row>
    <row r="8" spans="1:21" x14ac:dyDescent="0.25">
      <c r="A8" s="21">
        <v>30501180403</v>
      </c>
      <c r="B8" s="14" t="s">
        <v>164</v>
      </c>
      <c r="C8" s="24">
        <v>143000000</v>
      </c>
      <c r="D8" s="23">
        <v>7200000</v>
      </c>
      <c r="E8" s="23"/>
      <c r="F8" s="23"/>
      <c r="G8" s="38">
        <f t="shared" si="2"/>
        <v>150200000</v>
      </c>
      <c r="H8" s="23"/>
      <c r="I8" s="23">
        <v>11838327</v>
      </c>
      <c r="J8" s="23">
        <v>7950275</v>
      </c>
      <c r="K8" s="23">
        <v>12718517</v>
      </c>
      <c r="L8" s="23">
        <v>13805457</v>
      </c>
      <c r="M8" s="23"/>
      <c r="N8" s="23">
        <v>1025888</v>
      </c>
      <c r="O8" s="23">
        <v>13405157</v>
      </c>
      <c r="P8" s="23">
        <v>10440149</v>
      </c>
      <c r="Q8" s="23">
        <v>12077683</v>
      </c>
      <c r="R8" s="23">
        <v>30019704</v>
      </c>
      <c r="S8" s="23">
        <v>23326001</v>
      </c>
      <c r="T8" s="24">
        <f t="shared" si="3"/>
        <v>136607158</v>
      </c>
    </row>
    <row r="9" spans="1:21" x14ac:dyDescent="0.25">
      <c r="A9" s="21">
        <v>30501180404</v>
      </c>
      <c r="B9" s="14" t="s">
        <v>165</v>
      </c>
      <c r="C9" s="24">
        <v>10000000</v>
      </c>
      <c r="D9" s="23"/>
      <c r="E9" s="23">
        <v>3000000</v>
      </c>
      <c r="F9" s="23"/>
      <c r="G9" s="38">
        <f t="shared" si="2"/>
        <v>7000000</v>
      </c>
      <c r="H9" s="23"/>
      <c r="I9" s="23"/>
      <c r="J9" s="23"/>
      <c r="K9" s="23"/>
      <c r="L9" s="23">
        <v>1166400</v>
      </c>
      <c r="M9" s="23"/>
      <c r="N9" s="23">
        <v>2283729</v>
      </c>
      <c r="O9" s="23">
        <v>3438910</v>
      </c>
      <c r="P9" s="23"/>
      <c r="Q9" s="23"/>
      <c r="R9" s="23"/>
      <c r="S9" s="23"/>
      <c r="T9" s="24">
        <f t="shared" si="3"/>
        <v>6889039</v>
      </c>
    </row>
    <row r="10" spans="1:21" x14ac:dyDescent="0.25">
      <c r="A10" s="21">
        <v>30501180405</v>
      </c>
      <c r="B10" s="14" t="s">
        <v>166</v>
      </c>
      <c r="C10" s="24">
        <v>3000000</v>
      </c>
      <c r="D10" s="23"/>
      <c r="E10" s="23"/>
      <c r="F10" s="23"/>
      <c r="G10" s="38">
        <f t="shared" si="2"/>
        <v>3000000</v>
      </c>
      <c r="H10" s="23">
        <v>97032</v>
      </c>
      <c r="I10" s="23">
        <v>97032</v>
      </c>
      <c r="J10" s="23">
        <v>97032</v>
      </c>
      <c r="K10" s="23">
        <v>77626</v>
      </c>
      <c r="L10" s="23">
        <v>19406</v>
      </c>
      <c r="M10" s="23">
        <v>97032</v>
      </c>
      <c r="N10" s="23">
        <v>97032</v>
      </c>
      <c r="O10" s="23">
        <v>67922</v>
      </c>
      <c r="P10" s="23">
        <v>61454</v>
      </c>
      <c r="Q10" s="23">
        <v>97032</v>
      </c>
      <c r="R10" s="23">
        <v>97032</v>
      </c>
      <c r="S10" s="23">
        <v>97032</v>
      </c>
      <c r="T10" s="24">
        <f t="shared" si="3"/>
        <v>1002664</v>
      </c>
    </row>
    <row r="11" spans="1:21" x14ac:dyDescent="0.25">
      <c r="A11" s="21">
        <v>30501180406</v>
      </c>
      <c r="B11" s="14" t="s">
        <v>167</v>
      </c>
      <c r="C11" s="24">
        <v>27000000</v>
      </c>
      <c r="D11" s="23"/>
      <c r="E11" s="23"/>
      <c r="F11" s="23"/>
      <c r="G11" s="38">
        <f t="shared" si="2"/>
        <v>27000000</v>
      </c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4">
        <f t="shared" si="3"/>
        <v>0</v>
      </c>
    </row>
    <row r="12" spans="1:21" x14ac:dyDescent="0.25">
      <c r="A12" s="21">
        <v>30501180407</v>
      </c>
      <c r="B12" s="14" t="s">
        <v>168</v>
      </c>
      <c r="C12" s="24">
        <v>1000000</v>
      </c>
      <c r="D12" s="23"/>
      <c r="E12" s="23"/>
      <c r="F12" s="23"/>
      <c r="G12" s="38">
        <f t="shared" si="2"/>
        <v>1000000</v>
      </c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4">
        <f t="shared" si="3"/>
        <v>0</v>
      </c>
    </row>
    <row r="13" spans="1:21" x14ac:dyDescent="0.25">
      <c r="A13" s="21">
        <v>30501180408</v>
      </c>
      <c r="B13" s="14" t="s">
        <v>169</v>
      </c>
      <c r="C13" s="24">
        <v>400000000</v>
      </c>
      <c r="D13" s="23"/>
      <c r="E13" s="23"/>
      <c r="F13" s="23"/>
      <c r="G13" s="38">
        <f t="shared" si="2"/>
        <v>400000000</v>
      </c>
      <c r="H13" s="23">
        <v>31658463</v>
      </c>
      <c r="I13" s="23">
        <v>25454957</v>
      </c>
      <c r="J13" s="23">
        <v>32255974</v>
      </c>
      <c r="K13" s="23">
        <v>36602576</v>
      </c>
      <c r="L13" s="23">
        <v>29993481</v>
      </c>
      <c r="M13" s="23">
        <v>36555999</v>
      </c>
      <c r="N13" s="23">
        <v>32873043</v>
      </c>
      <c r="O13" s="23">
        <v>31415642</v>
      </c>
      <c r="P13" s="23">
        <v>25361275</v>
      </c>
      <c r="Q13" s="23">
        <f>13875016+8312462+7849178</f>
        <v>30036656</v>
      </c>
      <c r="R13" s="23">
        <v>33762131</v>
      </c>
      <c r="S13" s="23">
        <v>33014760</v>
      </c>
      <c r="T13" s="24">
        <f t="shared" si="3"/>
        <v>378984957</v>
      </c>
    </row>
    <row r="14" spans="1:21" x14ac:dyDescent="0.25">
      <c r="A14" s="21">
        <v>30501180409</v>
      </c>
      <c r="B14" s="14" t="s">
        <v>170</v>
      </c>
      <c r="C14" s="24">
        <v>140000000</v>
      </c>
      <c r="D14" s="23">
        <v>3000000</v>
      </c>
      <c r="E14" s="23"/>
      <c r="F14" s="23"/>
      <c r="G14" s="38">
        <f t="shared" si="2"/>
        <v>143000000</v>
      </c>
      <c r="H14" s="23"/>
      <c r="I14" s="23"/>
      <c r="J14" s="23"/>
      <c r="K14" s="23"/>
      <c r="L14" s="23"/>
      <c r="M14" s="23"/>
      <c r="N14" s="23">
        <v>134411670</v>
      </c>
      <c r="O14" s="23"/>
      <c r="P14" s="23"/>
      <c r="Q14" s="23"/>
      <c r="R14" s="23"/>
      <c r="S14" s="23"/>
      <c r="T14" s="24">
        <f t="shared" si="3"/>
        <v>134411670</v>
      </c>
    </row>
    <row r="15" spans="1:21" x14ac:dyDescent="0.25">
      <c r="A15" s="21">
        <v>30501180410</v>
      </c>
      <c r="B15" s="14" t="s">
        <v>171</v>
      </c>
      <c r="C15" s="24">
        <v>90000000</v>
      </c>
      <c r="D15" s="23">
        <v>8500000</v>
      </c>
      <c r="E15" s="23"/>
      <c r="F15" s="23"/>
      <c r="G15" s="38">
        <f t="shared" si="2"/>
        <v>98500000</v>
      </c>
      <c r="H15" s="23">
        <v>7731456</v>
      </c>
      <c r="I15" s="23">
        <v>3691260</v>
      </c>
      <c r="J15" s="23">
        <v>10324630</v>
      </c>
      <c r="K15" s="23">
        <v>6439453</v>
      </c>
      <c r="L15" s="23">
        <v>3945000</v>
      </c>
      <c r="M15" s="23">
        <v>7165010</v>
      </c>
      <c r="N15" s="23">
        <v>2860364</v>
      </c>
      <c r="O15" s="23">
        <v>13032242</v>
      </c>
      <c r="P15" s="23">
        <v>8514538</v>
      </c>
      <c r="Q15" s="23">
        <v>7739005</v>
      </c>
      <c r="R15" s="23">
        <v>5672860</v>
      </c>
      <c r="S15" s="23">
        <v>16142352</v>
      </c>
      <c r="T15" s="24">
        <f t="shared" si="3"/>
        <v>93258170</v>
      </c>
    </row>
    <row r="16" spans="1:21" x14ac:dyDescent="0.25">
      <c r="A16" s="21">
        <v>30501180411</v>
      </c>
      <c r="B16" s="14" t="s">
        <v>172</v>
      </c>
      <c r="C16" s="24">
        <v>22000000</v>
      </c>
      <c r="D16" s="23"/>
      <c r="E16" s="23"/>
      <c r="F16" s="23"/>
      <c r="G16" s="38">
        <f t="shared" si="2"/>
        <v>22000000</v>
      </c>
      <c r="H16" s="23"/>
      <c r="I16" s="23">
        <v>460017</v>
      </c>
      <c r="J16" s="23">
        <v>978005</v>
      </c>
      <c r="K16" s="23">
        <v>1581833</v>
      </c>
      <c r="L16" s="23">
        <v>1717018</v>
      </c>
      <c r="M16" s="23"/>
      <c r="N16" s="23">
        <v>1205173</v>
      </c>
      <c r="O16" s="23">
        <v>1387975</v>
      </c>
      <c r="P16" s="23">
        <v>1298487</v>
      </c>
      <c r="Q16" s="23"/>
      <c r="R16" s="23">
        <v>3736035</v>
      </c>
      <c r="S16" s="23">
        <v>2904325</v>
      </c>
      <c r="T16" s="24">
        <f t="shared" si="3"/>
        <v>15268868</v>
      </c>
    </row>
    <row r="17" spans="1:20" ht="16.5" x14ac:dyDescent="0.3">
      <c r="A17" s="18">
        <v>30501181</v>
      </c>
      <c r="B17" s="19" t="s">
        <v>173</v>
      </c>
      <c r="C17" s="20">
        <f>SUM(C18:C21)</f>
        <v>334000000</v>
      </c>
      <c r="D17" s="20">
        <f t="shared" ref="D17:G17" si="4">SUM(D18:D21)</f>
        <v>10500000</v>
      </c>
      <c r="E17" s="20">
        <f t="shared" si="4"/>
        <v>0</v>
      </c>
      <c r="F17" s="20">
        <f t="shared" si="4"/>
        <v>0</v>
      </c>
      <c r="G17" s="37">
        <f t="shared" si="4"/>
        <v>344500000</v>
      </c>
      <c r="H17" s="20">
        <f t="shared" ref="H17:T17" si="5">SUM(H18:H21)</f>
        <v>5227944</v>
      </c>
      <c r="I17" s="20">
        <f t="shared" si="5"/>
        <v>38758955</v>
      </c>
      <c r="J17" s="20">
        <f t="shared" si="5"/>
        <v>6108198</v>
      </c>
      <c r="K17" s="20">
        <f t="shared" si="5"/>
        <v>6485303</v>
      </c>
      <c r="L17" s="20">
        <f t="shared" si="5"/>
        <v>28126073</v>
      </c>
      <c r="M17" s="20">
        <f t="shared" si="5"/>
        <v>14872368</v>
      </c>
      <c r="N17" s="20">
        <f t="shared" si="5"/>
        <v>79995269</v>
      </c>
      <c r="O17" s="20">
        <f t="shared" si="5"/>
        <v>9044462</v>
      </c>
      <c r="P17" s="20">
        <f t="shared" si="5"/>
        <v>9102029</v>
      </c>
      <c r="Q17" s="20">
        <f t="shared" si="5"/>
        <v>14216639</v>
      </c>
      <c r="R17" s="20">
        <f t="shared" si="5"/>
        <v>9334601</v>
      </c>
      <c r="S17" s="20">
        <f t="shared" si="5"/>
        <v>31140967</v>
      </c>
      <c r="T17" s="20">
        <f t="shared" si="5"/>
        <v>252412808</v>
      </c>
    </row>
    <row r="18" spans="1:20" x14ac:dyDescent="0.25">
      <c r="A18" s="21">
        <v>30501181412</v>
      </c>
      <c r="B18" s="14" t="s">
        <v>174</v>
      </c>
      <c r="C18" s="24">
        <v>223000000</v>
      </c>
      <c r="D18" s="23"/>
      <c r="E18" s="23"/>
      <c r="F18" s="23"/>
      <c r="G18" s="38">
        <f t="shared" si="2"/>
        <v>223000000</v>
      </c>
      <c r="H18" s="23"/>
      <c r="I18" s="23">
        <v>33333333</v>
      </c>
      <c r="J18" s="23"/>
      <c r="K18" s="23"/>
      <c r="L18" s="23">
        <v>22050279</v>
      </c>
      <c r="M18" s="23">
        <v>8000000</v>
      </c>
      <c r="N18" s="23">
        <v>71049000</v>
      </c>
      <c r="O18" s="23"/>
      <c r="P18" s="23"/>
      <c r="Q18" s="23">
        <v>4000000</v>
      </c>
      <c r="R18" s="23"/>
      <c r="S18" s="23">
        <v>15497716</v>
      </c>
      <c r="T18" s="24">
        <f t="shared" si="3"/>
        <v>153930328</v>
      </c>
    </row>
    <row r="19" spans="1:20" x14ac:dyDescent="0.25">
      <c r="A19" s="21">
        <v>30501181413</v>
      </c>
      <c r="B19" s="11" t="s">
        <v>175</v>
      </c>
      <c r="C19" s="24">
        <v>100000000</v>
      </c>
      <c r="D19" s="23">
        <v>10500000</v>
      </c>
      <c r="E19" s="23"/>
      <c r="F19" s="23"/>
      <c r="G19" s="38">
        <f t="shared" si="2"/>
        <v>110500000</v>
      </c>
      <c r="H19" s="23">
        <v>5227944</v>
      </c>
      <c r="I19" s="23">
        <v>5425622</v>
      </c>
      <c r="J19" s="23">
        <v>6108198</v>
      </c>
      <c r="K19" s="23">
        <v>6485303</v>
      </c>
      <c r="L19" s="23">
        <v>6075794</v>
      </c>
      <c r="M19" s="23">
        <v>6872368</v>
      </c>
      <c r="N19" s="23">
        <v>8946269</v>
      </c>
      <c r="O19" s="23">
        <v>9044462</v>
      </c>
      <c r="P19" s="23">
        <v>9102029</v>
      </c>
      <c r="Q19" s="23">
        <v>10216639</v>
      </c>
      <c r="R19" s="23">
        <v>9334601</v>
      </c>
      <c r="S19" s="23">
        <v>15643251</v>
      </c>
      <c r="T19" s="24">
        <f t="shared" si="3"/>
        <v>98482480</v>
      </c>
    </row>
    <row r="20" spans="1:20" x14ac:dyDescent="0.25">
      <c r="A20" s="21">
        <v>30501181414</v>
      </c>
      <c r="B20" s="14" t="s">
        <v>176</v>
      </c>
      <c r="C20" s="24">
        <v>10000000</v>
      </c>
      <c r="D20" s="23"/>
      <c r="E20" s="23"/>
      <c r="F20" s="23"/>
      <c r="G20" s="38">
        <f t="shared" si="2"/>
        <v>10000000</v>
      </c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4">
        <f t="shared" si="3"/>
        <v>0</v>
      </c>
    </row>
    <row r="21" spans="1:20" x14ac:dyDescent="0.25">
      <c r="A21" s="21">
        <v>30501181415</v>
      </c>
      <c r="B21" s="14" t="s">
        <v>177</v>
      </c>
      <c r="C21" s="24">
        <v>1000000</v>
      </c>
      <c r="D21" s="23"/>
      <c r="E21" s="23"/>
      <c r="F21" s="23"/>
      <c r="G21" s="38">
        <f t="shared" si="2"/>
        <v>1000000</v>
      </c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4">
        <f t="shared" si="3"/>
        <v>0</v>
      </c>
    </row>
    <row r="22" spans="1:20" ht="16.5" x14ac:dyDescent="0.3">
      <c r="A22" s="18">
        <v>30501182</v>
      </c>
      <c r="B22" s="19" t="s">
        <v>178</v>
      </c>
      <c r="C22" s="25">
        <f>SUM(C23:C28)</f>
        <v>1200000000</v>
      </c>
      <c r="D22" s="25">
        <f t="shared" ref="D22:G22" si="6">SUM(D23:D28)</f>
        <v>107500000</v>
      </c>
      <c r="E22" s="25">
        <f t="shared" si="6"/>
        <v>0</v>
      </c>
      <c r="F22" s="25">
        <f t="shared" si="6"/>
        <v>0</v>
      </c>
      <c r="G22" s="25">
        <f t="shared" si="6"/>
        <v>1307500000</v>
      </c>
      <c r="H22" s="20">
        <f t="shared" ref="H22:T22" si="7">SUM(H23:H28)</f>
        <v>115253461</v>
      </c>
      <c r="I22" s="20">
        <f t="shared" si="7"/>
        <v>117263151</v>
      </c>
      <c r="J22" s="20">
        <f t="shared" si="7"/>
        <v>94750000</v>
      </c>
      <c r="K22" s="20">
        <f t="shared" si="7"/>
        <v>84638293</v>
      </c>
      <c r="L22" s="20">
        <f t="shared" si="7"/>
        <v>103863100</v>
      </c>
      <c r="M22" s="20">
        <f t="shared" si="7"/>
        <v>95959641</v>
      </c>
      <c r="N22" s="20">
        <f t="shared" si="7"/>
        <v>100243256</v>
      </c>
      <c r="O22" s="20">
        <f t="shared" si="7"/>
        <v>93561727</v>
      </c>
      <c r="P22" s="20">
        <f t="shared" si="7"/>
        <v>102207780</v>
      </c>
      <c r="Q22" s="20">
        <f t="shared" si="7"/>
        <v>104136342</v>
      </c>
      <c r="R22" s="20">
        <f t="shared" si="7"/>
        <v>111570890</v>
      </c>
      <c r="S22" s="20">
        <f t="shared" si="7"/>
        <v>114934148</v>
      </c>
      <c r="T22" s="20">
        <f t="shared" si="7"/>
        <v>1238381789</v>
      </c>
    </row>
    <row r="23" spans="1:20" x14ac:dyDescent="0.25">
      <c r="A23" s="21">
        <v>30501182417</v>
      </c>
      <c r="B23" s="14" t="s">
        <v>179</v>
      </c>
      <c r="C23" s="24">
        <v>140000000</v>
      </c>
      <c r="D23" s="23">
        <v>13500000</v>
      </c>
      <c r="E23" s="23"/>
      <c r="F23" s="23"/>
      <c r="G23" s="38">
        <f t="shared" si="2"/>
        <v>153500000</v>
      </c>
      <c r="H23" s="23">
        <v>13466200</v>
      </c>
      <c r="I23" s="23">
        <v>13789654</v>
      </c>
      <c r="J23" s="23">
        <v>11947300</v>
      </c>
      <c r="K23" s="23">
        <v>10564789</v>
      </c>
      <c r="L23" s="23">
        <v>12565200</v>
      </c>
      <c r="M23" s="23">
        <v>12050900</v>
      </c>
      <c r="N23" s="23">
        <v>12465000</v>
      </c>
      <c r="O23" s="23">
        <v>12036548</v>
      </c>
      <c r="P23" s="23">
        <v>12560000</v>
      </c>
      <c r="Q23" s="23">
        <v>12710000</v>
      </c>
      <c r="R23" s="23">
        <v>13553500</v>
      </c>
      <c r="S23" s="23">
        <v>14327000</v>
      </c>
      <c r="T23" s="24">
        <f t="shared" si="3"/>
        <v>152036091</v>
      </c>
    </row>
    <row r="24" spans="1:20" x14ac:dyDescent="0.25">
      <c r="A24" s="21">
        <v>30501182418</v>
      </c>
      <c r="B24" s="14" t="s">
        <v>180</v>
      </c>
      <c r="C24" s="24">
        <v>120000000</v>
      </c>
      <c r="D24" s="23"/>
      <c r="E24" s="23"/>
      <c r="F24" s="23"/>
      <c r="G24" s="38">
        <f t="shared" si="2"/>
        <v>120000000</v>
      </c>
      <c r="H24" s="23">
        <v>10099300</v>
      </c>
      <c r="I24" s="23">
        <v>10289564</v>
      </c>
      <c r="J24" s="23">
        <v>8959600</v>
      </c>
      <c r="K24" s="23">
        <v>7456258</v>
      </c>
      <c r="L24" s="23">
        <v>9423600</v>
      </c>
      <c r="M24" s="23">
        <v>9038300</v>
      </c>
      <c r="N24" s="23">
        <v>9348200</v>
      </c>
      <c r="O24" s="23">
        <v>8956412</v>
      </c>
      <c r="P24" s="23">
        <v>9420000</v>
      </c>
      <c r="Q24" s="23">
        <v>9532800</v>
      </c>
      <c r="R24" s="23">
        <v>10165600</v>
      </c>
      <c r="S24" s="23">
        <v>10746200</v>
      </c>
      <c r="T24" s="24">
        <f t="shared" si="3"/>
        <v>113435834</v>
      </c>
    </row>
    <row r="25" spans="1:20" x14ac:dyDescent="0.25">
      <c r="A25" s="21">
        <v>30501182419</v>
      </c>
      <c r="B25" s="14" t="s">
        <v>181</v>
      </c>
      <c r="C25" s="24">
        <v>50000000</v>
      </c>
      <c r="D25" s="23"/>
      <c r="E25" s="23"/>
      <c r="F25" s="23"/>
      <c r="G25" s="38">
        <f t="shared" si="2"/>
        <v>50000000</v>
      </c>
      <c r="H25" s="23">
        <v>1683650</v>
      </c>
      <c r="I25" s="23">
        <v>1789546</v>
      </c>
      <c r="J25" s="23">
        <v>4479800</v>
      </c>
      <c r="K25" s="23">
        <v>3370892</v>
      </c>
      <c r="L25" s="23">
        <v>3142300</v>
      </c>
      <c r="M25" s="23">
        <v>3013750</v>
      </c>
      <c r="N25" s="23">
        <v>3117400</v>
      </c>
      <c r="O25" s="23">
        <v>3054987</v>
      </c>
      <c r="P25" s="23">
        <v>3141000</v>
      </c>
      <c r="Q25" s="23">
        <v>3178750</v>
      </c>
      <c r="R25" s="23">
        <v>3889350</v>
      </c>
      <c r="S25" s="23">
        <v>3582850</v>
      </c>
      <c r="T25" s="24">
        <f t="shared" si="3"/>
        <v>37444275</v>
      </c>
    </row>
    <row r="26" spans="1:20" x14ac:dyDescent="0.25">
      <c r="A26" s="21">
        <v>30501182420</v>
      </c>
      <c r="B26" s="14" t="s">
        <v>182</v>
      </c>
      <c r="C26" s="24">
        <v>50000000</v>
      </c>
      <c r="D26" s="23"/>
      <c r="E26" s="23"/>
      <c r="F26" s="23"/>
      <c r="G26" s="38">
        <f t="shared" si="2"/>
        <v>50000000</v>
      </c>
      <c r="H26" s="23">
        <v>1683650</v>
      </c>
      <c r="I26" s="23">
        <v>1789546</v>
      </c>
      <c r="J26" s="23">
        <v>2239900</v>
      </c>
      <c r="K26" s="23">
        <v>1685446</v>
      </c>
      <c r="L26" s="23">
        <v>1571150</v>
      </c>
      <c r="M26" s="23">
        <v>1506875</v>
      </c>
      <c r="N26" s="23">
        <v>1558700</v>
      </c>
      <c r="O26" s="23">
        <v>1527494</v>
      </c>
      <c r="P26" s="23">
        <v>1570500</v>
      </c>
      <c r="Q26" s="23">
        <v>1589375</v>
      </c>
      <c r="R26" s="23">
        <v>1694675</v>
      </c>
      <c r="S26" s="23">
        <v>1791425</v>
      </c>
      <c r="T26" s="24">
        <f t="shared" si="3"/>
        <v>20208736</v>
      </c>
    </row>
    <row r="27" spans="1:20" x14ac:dyDescent="0.25">
      <c r="A27" s="21">
        <v>30501182421</v>
      </c>
      <c r="B27" s="14" t="s">
        <v>183</v>
      </c>
      <c r="C27" s="24">
        <v>40000000</v>
      </c>
      <c r="D27" s="23"/>
      <c r="E27" s="23"/>
      <c r="F27" s="23"/>
      <c r="G27" s="38">
        <f t="shared" si="2"/>
        <v>40000000</v>
      </c>
      <c r="H27" s="23">
        <v>3367300</v>
      </c>
      <c r="I27" s="23">
        <f>I26*2</f>
        <v>3579092</v>
      </c>
      <c r="J27" s="23">
        <v>2239900</v>
      </c>
      <c r="K27" s="23">
        <v>1685446</v>
      </c>
      <c r="L27" s="23">
        <v>1571150</v>
      </c>
      <c r="M27" s="23">
        <v>1506875</v>
      </c>
      <c r="N27" s="23">
        <v>1558700</v>
      </c>
      <c r="O27" s="23">
        <v>1527494</v>
      </c>
      <c r="P27" s="23">
        <v>1570500</v>
      </c>
      <c r="Q27" s="23">
        <v>1589375</v>
      </c>
      <c r="R27" s="23">
        <v>1694675</v>
      </c>
      <c r="S27" s="23">
        <v>1791425</v>
      </c>
      <c r="T27" s="24">
        <f t="shared" si="3"/>
        <v>23681932</v>
      </c>
    </row>
    <row r="28" spans="1:20" x14ac:dyDescent="0.25">
      <c r="A28" s="21">
        <v>30501182422</v>
      </c>
      <c r="B28" s="14" t="s">
        <v>184</v>
      </c>
      <c r="C28" s="24">
        <v>800000000</v>
      </c>
      <c r="D28" s="23">
        <v>94000000</v>
      </c>
      <c r="E28" s="23"/>
      <c r="F28" s="23"/>
      <c r="G28" s="38">
        <f t="shared" si="2"/>
        <v>894000000</v>
      </c>
      <c r="H28" s="23">
        <v>84953361</v>
      </c>
      <c r="I28" s="23">
        <v>86025749</v>
      </c>
      <c r="J28" s="23">
        <v>64883500</v>
      </c>
      <c r="K28" s="23">
        <v>59875462</v>
      </c>
      <c r="L28" s="23">
        <v>75589700</v>
      </c>
      <c r="M28" s="23">
        <v>68842941</v>
      </c>
      <c r="N28" s="23">
        <v>72195256</v>
      </c>
      <c r="O28" s="23">
        <v>66458792</v>
      </c>
      <c r="P28" s="23">
        <v>73945780</v>
      </c>
      <c r="Q28" s="23">
        <v>75536042</v>
      </c>
      <c r="R28" s="23">
        <v>80573090</v>
      </c>
      <c r="S28" s="23">
        <v>82695248</v>
      </c>
      <c r="T28" s="24">
        <f t="shared" si="3"/>
        <v>891574921</v>
      </c>
    </row>
    <row r="29" spans="1:20" ht="18.75" x14ac:dyDescent="0.4">
      <c r="A29" s="16">
        <v>30502</v>
      </c>
      <c r="B29" s="17" t="s">
        <v>185</v>
      </c>
      <c r="C29" s="11"/>
      <c r="D29" s="23"/>
      <c r="E29" s="23"/>
      <c r="F29" s="23"/>
      <c r="G29" s="38"/>
      <c r="H29" s="23"/>
      <c r="I29" s="11"/>
      <c r="J29" s="11"/>
      <c r="K29" s="11"/>
      <c r="L29" s="11"/>
      <c r="M29" s="52"/>
      <c r="N29" s="52"/>
      <c r="O29" s="52"/>
      <c r="P29" s="52"/>
      <c r="Q29" s="52"/>
      <c r="R29" s="52"/>
      <c r="S29" s="52"/>
      <c r="T29" s="11"/>
    </row>
    <row r="30" spans="1:20" ht="16.5" x14ac:dyDescent="0.3">
      <c r="A30" s="19">
        <v>30502180</v>
      </c>
      <c r="B30" s="19" t="s">
        <v>186</v>
      </c>
      <c r="C30" s="20">
        <f>SUM(C31:C36)</f>
        <v>422500000</v>
      </c>
      <c r="D30" s="20">
        <f t="shared" ref="D30:G30" si="8">SUM(D31:D36)</f>
        <v>0</v>
      </c>
      <c r="E30" s="20">
        <f t="shared" si="8"/>
        <v>192000000</v>
      </c>
      <c r="F30" s="20">
        <f t="shared" si="8"/>
        <v>0</v>
      </c>
      <c r="G30" s="37">
        <f t="shared" si="8"/>
        <v>230500000</v>
      </c>
      <c r="H30" s="20">
        <f t="shared" ref="H30:T30" si="9">SUM(H31:H36)</f>
        <v>0</v>
      </c>
      <c r="I30" s="20">
        <f t="shared" si="9"/>
        <v>0</v>
      </c>
      <c r="J30" s="20">
        <f t="shared" si="9"/>
        <v>16396695</v>
      </c>
      <c r="K30" s="20">
        <f t="shared" si="9"/>
        <v>0</v>
      </c>
      <c r="L30" s="20">
        <f t="shared" si="9"/>
        <v>20000000</v>
      </c>
      <c r="M30" s="20">
        <f t="shared" si="9"/>
        <v>0</v>
      </c>
      <c r="N30" s="20">
        <f t="shared" si="9"/>
        <v>109030958</v>
      </c>
      <c r="O30" s="20">
        <f t="shared" si="9"/>
        <v>19833941</v>
      </c>
      <c r="P30" s="20">
        <f t="shared" si="9"/>
        <v>0</v>
      </c>
      <c r="Q30" s="20">
        <f t="shared" si="9"/>
        <v>2000010</v>
      </c>
      <c r="R30" s="20">
        <f t="shared" si="9"/>
        <v>0</v>
      </c>
      <c r="S30" s="20">
        <f t="shared" si="9"/>
        <v>0</v>
      </c>
      <c r="T30" s="20">
        <f t="shared" si="9"/>
        <v>167261604</v>
      </c>
    </row>
    <row r="31" spans="1:20" x14ac:dyDescent="0.25">
      <c r="A31" s="21">
        <v>30502180401</v>
      </c>
      <c r="B31" s="14" t="s">
        <v>187</v>
      </c>
      <c r="C31" s="24">
        <v>19500000</v>
      </c>
      <c r="D31" s="23"/>
      <c r="E31" s="23"/>
      <c r="F31" s="23"/>
      <c r="G31" s="38">
        <f t="shared" ref="G31:G47" si="10">C31+D31-E31+F31</f>
        <v>19500000</v>
      </c>
      <c r="H31" s="23"/>
      <c r="I31" s="11"/>
      <c r="J31" s="11"/>
      <c r="K31" s="11"/>
      <c r="L31" s="11"/>
      <c r="M31" s="52"/>
      <c r="N31" s="52"/>
      <c r="O31" s="52"/>
      <c r="P31" s="52"/>
      <c r="Q31" s="23">
        <v>2000010</v>
      </c>
      <c r="R31" s="23"/>
      <c r="S31" s="23"/>
      <c r="T31" s="24">
        <f t="shared" ref="T31:T47" si="11">H31+I31+J31+K31+L31+M31+N31+O31+P31+Q31+R31+S31</f>
        <v>2000010</v>
      </c>
    </row>
    <row r="32" spans="1:20" x14ac:dyDescent="0.25">
      <c r="A32" s="21">
        <v>30502180402</v>
      </c>
      <c r="B32" s="14" t="s">
        <v>188</v>
      </c>
      <c r="C32" s="24">
        <v>237000000</v>
      </c>
      <c r="D32" s="23"/>
      <c r="E32" s="23">
        <f>40000000+152000000</f>
        <v>192000000</v>
      </c>
      <c r="F32" s="23"/>
      <c r="G32" s="38">
        <f t="shared" si="10"/>
        <v>45000000</v>
      </c>
      <c r="H32" s="23"/>
      <c r="I32" s="11"/>
      <c r="J32" s="23">
        <v>16396695</v>
      </c>
      <c r="K32" s="23"/>
      <c r="L32" s="23"/>
      <c r="M32" s="23"/>
      <c r="N32" s="23">
        <v>9030958</v>
      </c>
      <c r="O32" s="23">
        <v>15764141</v>
      </c>
      <c r="P32" s="23"/>
      <c r="Q32" s="23"/>
      <c r="R32" s="23"/>
      <c r="S32" s="23"/>
      <c r="T32" s="24">
        <f t="shared" si="11"/>
        <v>41191794</v>
      </c>
    </row>
    <row r="33" spans="1:20" x14ac:dyDescent="0.25">
      <c r="A33" s="21">
        <v>30502180403</v>
      </c>
      <c r="B33" s="14" t="s">
        <v>189</v>
      </c>
      <c r="C33" s="24">
        <v>150000000</v>
      </c>
      <c r="D33" s="23"/>
      <c r="E33" s="23"/>
      <c r="F33" s="23"/>
      <c r="G33" s="38">
        <f t="shared" si="10"/>
        <v>150000000</v>
      </c>
      <c r="H33" s="23"/>
      <c r="I33" s="11"/>
      <c r="J33" s="23"/>
      <c r="K33" s="23"/>
      <c r="L33" s="23">
        <v>20000000</v>
      </c>
      <c r="M33" s="23"/>
      <c r="N33" s="23">
        <v>100000000</v>
      </c>
      <c r="O33" s="23"/>
      <c r="P33" s="23"/>
      <c r="Q33" s="23"/>
      <c r="R33" s="23"/>
      <c r="S33" s="23"/>
      <c r="T33" s="24">
        <f t="shared" si="11"/>
        <v>120000000</v>
      </c>
    </row>
    <row r="34" spans="1:20" x14ac:dyDescent="0.25">
      <c r="A34" s="21">
        <v>30502180404</v>
      </c>
      <c r="B34" s="14" t="s">
        <v>190</v>
      </c>
      <c r="C34" s="24">
        <v>10000000</v>
      </c>
      <c r="D34" s="23"/>
      <c r="E34" s="23"/>
      <c r="F34" s="23"/>
      <c r="G34" s="38">
        <f t="shared" si="10"/>
        <v>10000000</v>
      </c>
      <c r="H34" s="23"/>
      <c r="I34" s="11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4">
        <f t="shared" si="11"/>
        <v>0</v>
      </c>
    </row>
    <row r="35" spans="1:20" x14ac:dyDescent="0.25">
      <c r="A35" s="21">
        <v>30502180405</v>
      </c>
      <c r="B35" s="14" t="s">
        <v>191</v>
      </c>
      <c r="C35" s="24">
        <v>1000000</v>
      </c>
      <c r="D35" s="23"/>
      <c r="E35" s="23"/>
      <c r="F35" s="23"/>
      <c r="G35" s="38">
        <f t="shared" si="10"/>
        <v>1000000</v>
      </c>
      <c r="H35" s="23"/>
      <c r="I35" s="11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4">
        <f t="shared" si="11"/>
        <v>0</v>
      </c>
    </row>
    <row r="36" spans="1:20" x14ac:dyDescent="0.25">
      <c r="A36" s="21">
        <v>30502180406</v>
      </c>
      <c r="B36" s="14" t="s">
        <v>192</v>
      </c>
      <c r="C36" s="24">
        <v>5000000</v>
      </c>
      <c r="D36" s="23"/>
      <c r="E36" s="23"/>
      <c r="F36" s="23"/>
      <c r="G36" s="38">
        <f t="shared" si="10"/>
        <v>5000000</v>
      </c>
      <c r="H36" s="23"/>
      <c r="I36" s="11"/>
      <c r="J36" s="23"/>
      <c r="K36" s="23"/>
      <c r="L36" s="23"/>
      <c r="M36" s="23"/>
      <c r="N36" s="23"/>
      <c r="O36" s="23">
        <v>4069800</v>
      </c>
      <c r="P36" s="23"/>
      <c r="Q36" s="23"/>
      <c r="R36" s="23"/>
      <c r="S36" s="23"/>
      <c r="T36" s="24">
        <f t="shared" si="11"/>
        <v>4069800</v>
      </c>
    </row>
    <row r="37" spans="1:20" ht="16.5" x14ac:dyDescent="0.3">
      <c r="A37" s="19">
        <v>30502181</v>
      </c>
      <c r="B37" s="19" t="s">
        <v>193</v>
      </c>
      <c r="C37" s="20">
        <f>SUM(C38:C47)</f>
        <v>696000000</v>
      </c>
      <c r="D37" s="20">
        <f t="shared" ref="D37:G37" si="12">SUM(D38:D47)</f>
        <v>111500000</v>
      </c>
      <c r="E37" s="20">
        <f t="shared" si="12"/>
        <v>159700000</v>
      </c>
      <c r="F37" s="20">
        <f t="shared" si="12"/>
        <v>0</v>
      </c>
      <c r="G37" s="37">
        <f t="shared" si="12"/>
        <v>647800000</v>
      </c>
      <c r="H37" s="20">
        <f>SUM(H38:H47)</f>
        <v>8512237</v>
      </c>
      <c r="I37" s="20">
        <f>SUM(I38:I47)</f>
        <v>14141991</v>
      </c>
      <c r="J37" s="20">
        <f>SUM(J38:J47)</f>
        <v>95457921</v>
      </c>
      <c r="K37" s="20">
        <f t="shared" ref="K37:S37" si="13">SUM(K38:K47)</f>
        <v>16333641</v>
      </c>
      <c r="L37" s="20">
        <f t="shared" si="13"/>
        <v>19066777</v>
      </c>
      <c r="M37" s="20">
        <f t="shared" si="13"/>
        <v>20366980</v>
      </c>
      <c r="N37" s="20">
        <f t="shared" si="13"/>
        <v>38150317</v>
      </c>
      <c r="O37" s="20">
        <f t="shared" si="13"/>
        <v>44366580</v>
      </c>
      <c r="P37" s="20">
        <f t="shared" si="13"/>
        <v>27540069</v>
      </c>
      <c r="Q37" s="20">
        <f t="shared" si="13"/>
        <v>19991980</v>
      </c>
      <c r="R37" s="20">
        <f t="shared" si="13"/>
        <v>45753138</v>
      </c>
      <c r="S37" s="20">
        <f t="shared" si="13"/>
        <v>20970022</v>
      </c>
      <c r="T37" s="20">
        <f>SUM(T38:T47)</f>
        <v>370651653</v>
      </c>
    </row>
    <row r="38" spans="1:20" x14ac:dyDescent="0.25">
      <c r="A38" s="21">
        <v>30502181407</v>
      </c>
      <c r="B38" s="14" t="s">
        <v>194</v>
      </c>
      <c r="C38" s="24">
        <v>40000000</v>
      </c>
      <c r="D38" s="23"/>
      <c r="E38" s="23"/>
      <c r="F38" s="23"/>
      <c r="G38" s="38">
        <f t="shared" si="10"/>
        <v>40000000</v>
      </c>
      <c r="H38" s="23">
        <v>228298</v>
      </c>
      <c r="I38" s="23">
        <v>228369</v>
      </c>
      <c r="J38" s="23">
        <v>20228405</v>
      </c>
      <c r="K38" s="23">
        <v>228441</v>
      </c>
      <c r="L38" s="23">
        <v>228298</v>
      </c>
      <c r="M38" s="23">
        <v>228334</v>
      </c>
      <c r="N38" s="23">
        <v>228298</v>
      </c>
      <c r="O38" s="23">
        <v>228298</v>
      </c>
      <c r="P38" s="23">
        <v>228298</v>
      </c>
      <c r="Q38" s="23">
        <v>1982862</v>
      </c>
      <c r="R38" s="23"/>
      <c r="S38" s="23"/>
      <c r="T38" s="24">
        <f t="shared" si="11"/>
        <v>24037901</v>
      </c>
    </row>
    <row r="39" spans="1:20" x14ac:dyDescent="0.25">
      <c r="A39" s="21">
        <v>30502181408</v>
      </c>
      <c r="B39" s="14" t="s">
        <v>195</v>
      </c>
      <c r="C39" s="24">
        <v>200000000</v>
      </c>
      <c r="D39" s="23"/>
      <c r="E39" s="23">
        <v>109700000</v>
      </c>
      <c r="F39" s="23"/>
      <c r="G39" s="38">
        <f t="shared" si="10"/>
        <v>90300000</v>
      </c>
      <c r="H39" s="23"/>
      <c r="I39" s="23"/>
      <c r="N39" s="23">
        <v>14980970</v>
      </c>
      <c r="O39" s="23">
        <v>20039600</v>
      </c>
      <c r="P39" s="23">
        <v>4899889</v>
      </c>
      <c r="Q39" s="23">
        <v>8566124</v>
      </c>
      <c r="R39" s="23">
        <v>7880000</v>
      </c>
      <c r="S39" s="23"/>
      <c r="T39" s="24">
        <f t="shared" si="11"/>
        <v>56366583</v>
      </c>
    </row>
    <row r="40" spans="1:20" x14ac:dyDescent="0.25">
      <c r="A40" s="21">
        <v>30502181409</v>
      </c>
      <c r="B40" s="14" t="s">
        <v>196</v>
      </c>
      <c r="C40" s="24">
        <v>50000000</v>
      </c>
      <c r="D40" s="23"/>
      <c r="E40" s="23"/>
      <c r="F40" s="23"/>
      <c r="G40" s="38">
        <f t="shared" si="10"/>
        <v>50000000</v>
      </c>
      <c r="H40" s="23"/>
      <c r="I40" s="23"/>
      <c r="J40" s="23">
        <v>21965260</v>
      </c>
      <c r="K40" s="23"/>
      <c r="L40" s="23"/>
      <c r="M40" s="23"/>
      <c r="N40" s="23"/>
      <c r="O40" s="23"/>
      <c r="P40" s="23"/>
      <c r="Q40" s="23"/>
      <c r="R40" s="23"/>
      <c r="S40" s="23"/>
      <c r="T40" s="24">
        <f t="shared" si="11"/>
        <v>21965260</v>
      </c>
    </row>
    <row r="41" spans="1:20" x14ac:dyDescent="0.25">
      <c r="A41" s="21">
        <v>30502181410</v>
      </c>
      <c r="B41" s="14" t="s">
        <v>197</v>
      </c>
      <c r="C41" s="24">
        <v>130000000</v>
      </c>
      <c r="D41" s="23">
        <v>110000000</v>
      </c>
      <c r="F41" s="23"/>
      <c r="G41" s="38">
        <f t="shared" si="10"/>
        <v>240000000</v>
      </c>
      <c r="H41" s="23">
        <v>7414635</v>
      </c>
      <c r="I41" s="23">
        <v>13337226</v>
      </c>
      <c r="J41" s="23">
        <v>20807351</v>
      </c>
      <c r="K41" s="23">
        <v>16105200</v>
      </c>
      <c r="L41" s="23">
        <v>18093175</v>
      </c>
      <c r="M41" s="23">
        <v>6033609</v>
      </c>
      <c r="N41" s="23">
        <v>22754723</v>
      </c>
      <c r="O41" s="23">
        <v>23512868</v>
      </c>
      <c r="P41" s="23">
        <f>22614005-2787284+1373531</f>
        <v>21200252</v>
      </c>
      <c r="Q41" s="23">
        <v>9036924</v>
      </c>
      <c r="R41" s="23">
        <v>37873138</v>
      </c>
      <c r="S41" s="23">
        <v>9674485</v>
      </c>
      <c r="T41" s="24">
        <f t="shared" si="11"/>
        <v>205843586</v>
      </c>
    </row>
    <row r="42" spans="1:20" x14ac:dyDescent="0.25">
      <c r="A42" s="21">
        <v>30502181411</v>
      </c>
      <c r="B42" s="14" t="s">
        <v>198</v>
      </c>
      <c r="C42" s="24">
        <v>30000000</v>
      </c>
      <c r="D42" s="23"/>
      <c r="E42" s="23"/>
      <c r="F42" s="23"/>
      <c r="G42" s="38">
        <f t="shared" si="10"/>
        <v>30000000</v>
      </c>
      <c r="H42" s="23">
        <v>869304</v>
      </c>
      <c r="I42" s="23">
        <v>576396</v>
      </c>
      <c r="J42" s="23">
        <v>769304</v>
      </c>
      <c r="K42" s="23"/>
      <c r="L42" s="23">
        <v>745304</v>
      </c>
      <c r="M42" s="23">
        <v>210326</v>
      </c>
      <c r="N42" s="23">
        <v>186326</v>
      </c>
      <c r="O42" s="23">
        <v>585814</v>
      </c>
      <c r="P42" s="23">
        <v>1211630</v>
      </c>
      <c r="Q42" s="23">
        <v>406070</v>
      </c>
      <c r="R42" s="23"/>
      <c r="S42" s="23"/>
      <c r="T42" s="24">
        <f t="shared" si="11"/>
        <v>5560474</v>
      </c>
    </row>
    <row r="43" spans="1:20" x14ac:dyDescent="0.25">
      <c r="A43" s="21">
        <v>30502181412</v>
      </c>
      <c r="B43" s="14" t="s">
        <v>199</v>
      </c>
      <c r="C43" s="24">
        <v>130000000</v>
      </c>
      <c r="D43" s="23">
        <v>1500000</v>
      </c>
      <c r="E43" s="23"/>
      <c r="F43" s="23"/>
      <c r="G43" s="38">
        <f t="shared" si="10"/>
        <v>131500000</v>
      </c>
      <c r="H43" s="23"/>
      <c r="I43" s="23"/>
      <c r="J43" s="23">
        <v>31687601</v>
      </c>
      <c r="K43" s="23"/>
      <c r="L43" s="23"/>
      <c r="M43" s="23"/>
      <c r="N43" s="23"/>
      <c r="O43" s="23"/>
      <c r="P43" s="23"/>
      <c r="Q43" s="23"/>
      <c r="R43" s="23"/>
      <c r="S43" s="23">
        <v>11295537</v>
      </c>
      <c r="T43" s="24">
        <f t="shared" si="11"/>
        <v>42983138</v>
      </c>
    </row>
    <row r="44" spans="1:20" x14ac:dyDescent="0.25">
      <c r="A44" s="21">
        <v>30502181413</v>
      </c>
      <c r="B44" s="14" t="s">
        <v>200</v>
      </c>
      <c r="C44" s="24">
        <v>15000000</v>
      </c>
      <c r="D44" s="23"/>
      <c r="E44" s="23"/>
      <c r="F44" s="23"/>
      <c r="G44" s="38">
        <f t="shared" si="10"/>
        <v>15000000</v>
      </c>
      <c r="H44" s="23"/>
      <c r="I44" s="23"/>
      <c r="J44" s="23"/>
      <c r="K44" s="23"/>
      <c r="L44" s="23"/>
      <c r="M44" s="23">
        <v>5894711</v>
      </c>
      <c r="N44" s="23"/>
      <c r="O44" s="23"/>
      <c r="P44" s="23"/>
      <c r="Q44" s="23"/>
      <c r="R44" s="23"/>
      <c r="S44" s="23"/>
      <c r="T44" s="24">
        <f t="shared" si="11"/>
        <v>5894711</v>
      </c>
    </row>
    <row r="45" spans="1:20" x14ac:dyDescent="0.25">
      <c r="A45" s="21">
        <v>30502181414</v>
      </c>
      <c r="B45" s="14" t="s">
        <v>201</v>
      </c>
      <c r="C45" s="24">
        <v>30000000</v>
      </c>
      <c r="D45" s="23"/>
      <c r="E45" s="23"/>
      <c r="F45" s="23"/>
      <c r="G45" s="38">
        <f t="shared" si="10"/>
        <v>30000000</v>
      </c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4">
        <f t="shared" si="11"/>
        <v>0</v>
      </c>
    </row>
    <row r="46" spans="1:20" x14ac:dyDescent="0.25">
      <c r="A46" s="21">
        <v>30502181415</v>
      </c>
      <c r="B46" s="11" t="s">
        <v>202</v>
      </c>
      <c r="C46" s="24">
        <v>70000000</v>
      </c>
      <c r="D46" s="23"/>
      <c r="E46" s="23">
        <v>50000000</v>
      </c>
      <c r="F46" s="23"/>
      <c r="G46" s="38">
        <f t="shared" si="10"/>
        <v>20000000</v>
      </c>
      <c r="H46" s="23"/>
      <c r="I46" s="23"/>
      <c r="J46" s="23"/>
      <c r="K46" s="23"/>
      <c r="L46" s="23"/>
      <c r="M46" s="23">
        <v>8000000</v>
      </c>
      <c r="N46" s="23"/>
      <c r="O46" s="23"/>
      <c r="P46" s="23"/>
      <c r="Q46" s="23"/>
      <c r="R46" s="23"/>
      <c r="S46" s="23"/>
      <c r="T46" s="24">
        <f t="shared" si="11"/>
        <v>8000000</v>
      </c>
    </row>
    <row r="47" spans="1:20" x14ac:dyDescent="0.25">
      <c r="A47" s="21">
        <v>30502181416</v>
      </c>
      <c r="B47" s="14" t="s">
        <v>203</v>
      </c>
      <c r="C47" s="24">
        <v>1000000</v>
      </c>
      <c r="D47" s="23"/>
      <c r="E47" s="23"/>
      <c r="F47" s="23"/>
      <c r="G47" s="38">
        <f t="shared" si="10"/>
        <v>1000000</v>
      </c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4">
        <f t="shared" si="11"/>
        <v>0</v>
      </c>
    </row>
    <row r="48" spans="1:20" ht="18.75" x14ac:dyDescent="0.4">
      <c r="A48" s="16">
        <v>30503</v>
      </c>
      <c r="B48" s="17" t="s">
        <v>204</v>
      </c>
      <c r="C48" s="26"/>
      <c r="D48" s="23"/>
      <c r="E48" s="23"/>
      <c r="F48" s="23"/>
      <c r="G48" s="38"/>
      <c r="H48" s="23"/>
      <c r="I48" s="11"/>
      <c r="J48" s="11"/>
      <c r="K48" s="11"/>
      <c r="L48" s="11"/>
      <c r="M48" s="52"/>
      <c r="N48" s="52"/>
      <c r="O48" s="52"/>
      <c r="P48" s="52"/>
      <c r="Q48" s="52"/>
      <c r="R48" s="52"/>
      <c r="S48" s="52"/>
      <c r="T48" s="11"/>
    </row>
    <row r="49" spans="1:20" x14ac:dyDescent="0.25">
      <c r="A49" s="27">
        <v>30503180</v>
      </c>
      <c r="B49" s="27" t="s">
        <v>205</v>
      </c>
      <c r="C49" s="28">
        <f>SUM(C50:C53)</f>
        <v>625500000</v>
      </c>
      <c r="D49" s="28">
        <f t="shared" ref="D49:G49" si="14">SUM(D50:D53)</f>
        <v>0</v>
      </c>
      <c r="E49" s="87">
        <f t="shared" si="14"/>
        <v>18500000</v>
      </c>
      <c r="F49" s="28">
        <f t="shared" si="14"/>
        <v>0</v>
      </c>
      <c r="G49" s="39">
        <f t="shared" si="14"/>
        <v>607000000</v>
      </c>
      <c r="H49" s="28">
        <f>SUM(H50:H53)</f>
        <v>28943479</v>
      </c>
      <c r="I49" s="28">
        <f>SUM(I50:I53)</f>
        <v>86253286</v>
      </c>
      <c r="J49" s="28">
        <f>SUM(J50:J53)</f>
        <v>73107663</v>
      </c>
      <c r="K49" s="28">
        <f t="shared" ref="K49:S49" si="15">SUM(K50:K53)</f>
        <v>43520489</v>
      </c>
      <c r="L49" s="28">
        <f t="shared" si="15"/>
        <v>32372780</v>
      </c>
      <c r="M49" s="28">
        <f t="shared" si="15"/>
        <v>72543251</v>
      </c>
      <c r="N49" s="28">
        <f t="shared" si="15"/>
        <v>81250927</v>
      </c>
      <c r="O49" s="28">
        <f t="shared" si="15"/>
        <v>9168203</v>
      </c>
      <c r="P49" s="28">
        <f t="shared" si="15"/>
        <v>18912371</v>
      </c>
      <c r="Q49" s="28">
        <f t="shared" si="15"/>
        <v>15912371</v>
      </c>
      <c r="R49" s="28">
        <f t="shared" si="15"/>
        <v>5912371</v>
      </c>
      <c r="S49" s="28">
        <f t="shared" si="15"/>
        <v>47391407</v>
      </c>
      <c r="T49" s="28">
        <f>SUM(T50:T53)</f>
        <v>515288598</v>
      </c>
    </row>
    <row r="50" spans="1:20" x14ac:dyDescent="0.25">
      <c r="A50" s="21">
        <v>30503180401</v>
      </c>
      <c r="B50" s="14" t="s">
        <v>206</v>
      </c>
      <c r="C50" s="24">
        <v>100000000</v>
      </c>
      <c r="D50" s="23"/>
      <c r="E50" s="23">
        <v>15000000</v>
      </c>
      <c r="F50" s="23"/>
      <c r="G50" s="38">
        <f t="shared" ref="G50:G59" si="16">C50+D50-E50+F50</f>
        <v>85000000</v>
      </c>
      <c r="H50" s="23">
        <v>5646909</v>
      </c>
      <c r="I50" s="23">
        <v>5912371</v>
      </c>
      <c r="J50" s="23">
        <v>5912371</v>
      </c>
      <c r="K50" s="23">
        <v>5912371</v>
      </c>
      <c r="L50" s="23">
        <v>5912371</v>
      </c>
      <c r="M50" s="23">
        <v>11824742</v>
      </c>
      <c r="N50" s="23">
        <v>5912371</v>
      </c>
      <c r="O50" s="23">
        <v>5912371</v>
      </c>
      <c r="P50" s="23">
        <v>5912371</v>
      </c>
      <c r="Q50" s="23">
        <v>5912371</v>
      </c>
      <c r="R50" s="23">
        <v>5912371</v>
      </c>
      <c r="S50" s="23">
        <v>11824742</v>
      </c>
      <c r="T50" s="24">
        <f t="shared" ref="T50:T59" si="17">H50+I50+J50+K50+L50+M50+N50+O50+P50+Q50+R50+S50</f>
        <v>82507732</v>
      </c>
    </row>
    <row r="51" spans="1:20" x14ac:dyDescent="0.25">
      <c r="A51" s="21">
        <v>30503180402</v>
      </c>
      <c r="B51" s="14" t="s">
        <v>207</v>
      </c>
      <c r="C51" s="24">
        <v>1000000</v>
      </c>
      <c r="D51" s="23"/>
      <c r="E51" s="23"/>
      <c r="F51" s="23"/>
      <c r="G51" s="38">
        <f t="shared" si="16"/>
        <v>1000000</v>
      </c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4">
        <f t="shared" si="17"/>
        <v>0</v>
      </c>
    </row>
    <row r="52" spans="1:20" x14ac:dyDescent="0.25">
      <c r="A52" s="21">
        <v>30503180403</v>
      </c>
      <c r="B52" s="14" t="s">
        <v>208</v>
      </c>
      <c r="C52" s="24">
        <v>500000000</v>
      </c>
      <c r="D52" s="23"/>
      <c r="E52" s="23">
        <v>3500000</v>
      </c>
      <c r="F52" s="23"/>
      <c r="G52" s="38">
        <f t="shared" si="16"/>
        <v>496500000</v>
      </c>
      <c r="H52" s="23"/>
      <c r="I52" s="23">
        <v>79490159</v>
      </c>
      <c r="J52" s="23">
        <v>67195292</v>
      </c>
      <c r="K52" s="23">
        <v>37608118</v>
      </c>
      <c r="L52" s="23">
        <v>26460409</v>
      </c>
      <c r="M52" s="23">
        <v>60718509</v>
      </c>
      <c r="N52" s="23">
        <v>75338556</v>
      </c>
      <c r="O52" s="23">
        <v>3115167</v>
      </c>
      <c r="P52" s="23">
        <v>13000000</v>
      </c>
      <c r="Q52" s="23">
        <v>10000000</v>
      </c>
      <c r="R52" s="23"/>
      <c r="S52" s="23">
        <v>35566665</v>
      </c>
      <c r="T52" s="24">
        <f t="shared" si="17"/>
        <v>408492875</v>
      </c>
    </row>
    <row r="53" spans="1:20" x14ac:dyDescent="0.25">
      <c r="A53" s="21">
        <v>30503180404</v>
      </c>
      <c r="B53" s="14" t="s">
        <v>209</v>
      </c>
      <c r="C53" s="24">
        <v>24500000</v>
      </c>
      <c r="D53" s="23"/>
      <c r="E53" s="23"/>
      <c r="F53" s="23"/>
      <c r="G53" s="38">
        <f t="shared" si="16"/>
        <v>24500000</v>
      </c>
      <c r="H53" s="23">
        <v>23296570</v>
      </c>
      <c r="I53" s="23">
        <v>850756</v>
      </c>
      <c r="J53" s="23"/>
      <c r="K53" s="23"/>
      <c r="L53" s="23"/>
      <c r="M53" s="23"/>
      <c r="N53" s="23"/>
      <c r="O53" s="23">
        <v>140665</v>
      </c>
      <c r="P53" s="23"/>
      <c r="Q53" s="23"/>
      <c r="R53" s="23"/>
      <c r="S53" s="23"/>
      <c r="T53" s="24">
        <f t="shared" si="17"/>
        <v>24287991</v>
      </c>
    </row>
    <row r="54" spans="1:20" x14ac:dyDescent="0.25">
      <c r="A54" s="27">
        <v>30503181</v>
      </c>
      <c r="B54" s="27" t="s">
        <v>210</v>
      </c>
      <c r="C54" s="29">
        <f>SUM(C55:C59)</f>
        <v>1140000000</v>
      </c>
      <c r="D54" s="29">
        <f t="shared" ref="D54:G54" si="18">SUM(D55:D59)</f>
        <v>0</v>
      </c>
      <c r="E54" s="88">
        <f t="shared" si="18"/>
        <v>70000000</v>
      </c>
      <c r="F54" s="29">
        <f t="shared" si="18"/>
        <v>0</v>
      </c>
      <c r="G54" s="40">
        <f t="shared" si="18"/>
        <v>1070000000</v>
      </c>
      <c r="H54" s="29">
        <f>SUM(H55:H59)</f>
        <v>3395304</v>
      </c>
      <c r="I54" s="29">
        <f>SUM(I55:I59)</f>
        <v>16231759</v>
      </c>
      <c r="J54" s="29">
        <f>SUM(J55:J59)</f>
        <v>1800907</v>
      </c>
      <c r="K54" s="29">
        <f t="shared" ref="K54:S54" si="19">SUM(K55:K59)</f>
        <v>4143675</v>
      </c>
      <c r="L54" s="29">
        <f t="shared" si="19"/>
        <v>386320587</v>
      </c>
      <c r="M54" s="29">
        <f t="shared" si="19"/>
        <v>312480748</v>
      </c>
      <c r="N54" s="29">
        <f t="shared" si="19"/>
        <v>107368381</v>
      </c>
      <c r="O54" s="29">
        <f t="shared" si="19"/>
        <v>32796964</v>
      </c>
      <c r="P54" s="29">
        <f t="shared" si="19"/>
        <v>6834295</v>
      </c>
      <c r="Q54" s="29">
        <f t="shared" si="19"/>
        <v>4551885</v>
      </c>
      <c r="R54" s="29">
        <f t="shared" si="19"/>
        <v>12957419</v>
      </c>
      <c r="S54" s="29">
        <f t="shared" si="19"/>
        <v>9938688</v>
      </c>
      <c r="T54" s="29">
        <f>SUM(T55:T59)</f>
        <v>898820612</v>
      </c>
    </row>
    <row r="55" spans="1:20" x14ac:dyDescent="0.25">
      <c r="A55" s="21">
        <v>30503181405</v>
      </c>
      <c r="B55" s="14" t="s">
        <v>211</v>
      </c>
      <c r="C55" s="24">
        <v>30000000</v>
      </c>
      <c r="D55" s="23"/>
      <c r="E55" s="23"/>
      <c r="F55" s="23"/>
      <c r="G55" s="38">
        <f t="shared" si="16"/>
        <v>30000000</v>
      </c>
      <c r="H55" s="23"/>
      <c r="I55" s="23"/>
      <c r="J55" s="23"/>
      <c r="K55" s="23"/>
      <c r="L55" s="23"/>
      <c r="M55" s="23"/>
      <c r="N55" s="23"/>
      <c r="O55" s="23">
        <v>1453085</v>
      </c>
      <c r="P55" s="23"/>
      <c r="Q55" s="23"/>
      <c r="R55" s="23"/>
      <c r="S55" s="23"/>
      <c r="T55" s="24">
        <f t="shared" si="17"/>
        <v>1453085</v>
      </c>
    </row>
    <row r="56" spans="1:20" x14ac:dyDescent="0.25">
      <c r="A56" s="21">
        <v>30503181406</v>
      </c>
      <c r="B56" s="14" t="s">
        <v>212</v>
      </c>
      <c r="C56" s="24">
        <v>100000000</v>
      </c>
      <c r="D56" s="23"/>
      <c r="E56" s="23">
        <v>30000000</v>
      </c>
      <c r="F56" s="23"/>
      <c r="G56" s="38">
        <f t="shared" si="16"/>
        <v>70000000</v>
      </c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4">
        <f t="shared" si="17"/>
        <v>0</v>
      </c>
    </row>
    <row r="57" spans="1:20" x14ac:dyDescent="0.25">
      <c r="A57" s="21">
        <v>30503181407</v>
      </c>
      <c r="B57" s="14" t="s">
        <v>213</v>
      </c>
      <c r="C57" s="24">
        <v>130000000</v>
      </c>
      <c r="D57" s="23"/>
      <c r="E57" s="23">
        <v>20000000</v>
      </c>
      <c r="F57" s="23"/>
      <c r="G57" s="38">
        <f t="shared" si="16"/>
        <v>110000000</v>
      </c>
      <c r="H57" s="23">
        <v>3395304</v>
      </c>
      <c r="I57" s="23">
        <v>16231759</v>
      </c>
      <c r="J57" s="23">
        <v>1800907</v>
      </c>
      <c r="K57" s="23">
        <v>4143675</v>
      </c>
      <c r="L57" s="23">
        <v>3964266</v>
      </c>
      <c r="M57" s="23">
        <v>6904094</v>
      </c>
      <c r="N57" s="23">
        <v>11488925</v>
      </c>
      <c r="O57" s="23">
        <v>3387467</v>
      </c>
      <c r="P57" s="23">
        <v>6834295</v>
      </c>
      <c r="Q57" s="23">
        <v>4551885</v>
      </c>
      <c r="R57" s="23">
        <v>12957419</v>
      </c>
      <c r="S57" s="23">
        <v>9938688</v>
      </c>
      <c r="T57" s="24">
        <f t="shared" si="17"/>
        <v>85598684</v>
      </c>
    </row>
    <row r="58" spans="1:20" x14ac:dyDescent="0.25">
      <c r="A58" s="21">
        <v>30503181408</v>
      </c>
      <c r="B58" s="14" t="s">
        <v>214</v>
      </c>
      <c r="C58" s="24">
        <v>70000000</v>
      </c>
      <c r="D58" s="23"/>
      <c r="E58" s="23">
        <v>20000000</v>
      </c>
      <c r="F58" s="23"/>
      <c r="G58" s="38">
        <f t="shared" si="16"/>
        <v>50000000</v>
      </c>
      <c r="H58" s="23"/>
      <c r="I58" s="23"/>
      <c r="J58" s="23"/>
      <c r="K58" s="23"/>
      <c r="L58" s="23"/>
      <c r="M58" s="23">
        <v>7000000</v>
      </c>
      <c r="N58" s="23"/>
      <c r="O58" s="23"/>
      <c r="P58" s="23"/>
      <c r="Q58" s="23"/>
      <c r="R58" s="23"/>
      <c r="S58" s="23"/>
      <c r="T58" s="24">
        <f t="shared" si="17"/>
        <v>7000000</v>
      </c>
    </row>
    <row r="59" spans="1:20" x14ac:dyDescent="0.25">
      <c r="A59" s="21">
        <v>30503181409</v>
      </c>
      <c r="B59" s="14" t="s">
        <v>215</v>
      </c>
      <c r="C59" s="24">
        <v>810000000</v>
      </c>
      <c r="D59" s="23"/>
      <c r="E59" s="23"/>
      <c r="F59" s="23"/>
      <c r="G59" s="38">
        <f t="shared" si="16"/>
        <v>810000000</v>
      </c>
      <c r="H59" s="23"/>
      <c r="I59" s="11"/>
      <c r="J59" s="11"/>
      <c r="K59" s="11"/>
      <c r="L59" s="23">
        <f>84659000+199458000+98239321</f>
        <v>382356321</v>
      </c>
      <c r="M59" s="23">
        <v>298576654</v>
      </c>
      <c r="N59" s="23">
        <v>95879456</v>
      </c>
      <c r="O59" s="23">
        <v>27956412</v>
      </c>
      <c r="P59" s="23"/>
      <c r="Q59" s="23"/>
      <c r="R59" s="23"/>
      <c r="S59" s="23"/>
      <c r="T59" s="24">
        <f t="shared" si="17"/>
        <v>804768843</v>
      </c>
    </row>
    <row r="60" spans="1:20" ht="15.75" x14ac:dyDescent="0.25">
      <c r="A60" s="30"/>
      <c r="B60" s="31" t="s">
        <v>216</v>
      </c>
      <c r="C60" s="13">
        <f>C5+C17+C22+C30+C37+C49+C54</f>
        <v>8832000000</v>
      </c>
      <c r="D60" s="13">
        <f t="shared" ref="D60:G60" si="20">D5+D17+D22+D30+D37+D49+D54</f>
        <v>443200000</v>
      </c>
      <c r="E60" s="13">
        <f t="shared" si="20"/>
        <v>443200000</v>
      </c>
      <c r="F60" s="13">
        <f t="shared" si="20"/>
        <v>0</v>
      </c>
      <c r="G60" s="41">
        <f t="shared" si="20"/>
        <v>8832000000</v>
      </c>
      <c r="H60" s="13">
        <f>H5+H17+H22+H30+H37+H49+H54</f>
        <v>474167729</v>
      </c>
      <c r="I60" s="13">
        <f>I5+I17+I22+I30+I37+I49+I54</f>
        <v>589467044</v>
      </c>
      <c r="J60" s="13">
        <f>J5+J17+J22+J30+J37+J49+J54</f>
        <v>615146217</v>
      </c>
      <c r="K60" s="13">
        <f t="shared" ref="K60:S60" si="21">K5+K17+K22+K30+K37+K49+K54</f>
        <v>478418348</v>
      </c>
      <c r="L60" s="13">
        <f t="shared" si="21"/>
        <v>914601200</v>
      </c>
      <c r="M60" s="13">
        <f t="shared" si="21"/>
        <v>812709424</v>
      </c>
      <c r="N60" s="13">
        <f t="shared" si="21"/>
        <v>968793595</v>
      </c>
      <c r="O60" s="13">
        <f t="shared" si="21"/>
        <v>559991367</v>
      </c>
      <c r="P60" s="13">
        <f t="shared" si="21"/>
        <v>470135200</v>
      </c>
      <c r="Q60" s="13">
        <f t="shared" si="21"/>
        <v>492311627</v>
      </c>
      <c r="R60" s="13">
        <f t="shared" si="21"/>
        <v>545910493</v>
      </c>
      <c r="S60" s="13">
        <f t="shared" si="21"/>
        <v>890144202</v>
      </c>
      <c r="T60" s="13">
        <f>T5+T17+T22+T30+T37+T49+T54</f>
        <v>7811796446</v>
      </c>
    </row>
    <row r="61" spans="1:20" ht="18.75" x14ac:dyDescent="0.4">
      <c r="A61" s="16">
        <v>30506</v>
      </c>
      <c r="B61" s="17" t="s">
        <v>217</v>
      </c>
      <c r="C61" s="24">
        <v>0</v>
      </c>
      <c r="D61" s="23"/>
      <c r="E61" s="23"/>
      <c r="F61" s="23"/>
      <c r="G61" s="38"/>
      <c r="H61" s="23"/>
      <c r="I61" s="11"/>
      <c r="J61" s="11"/>
      <c r="K61" s="11"/>
      <c r="L61" s="11"/>
      <c r="M61" s="52"/>
      <c r="N61" s="52"/>
      <c r="O61" s="52"/>
      <c r="P61" s="52"/>
      <c r="Q61" s="52"/>
      <c r="R61" s="52"/>
      <c r="S61" s="52"/>
      <c r="T61" s="11"/>
    </row>
    <row r="62" spans="1:20" x14ac:dyDescent="0.25">
      <c r="A62" s="27">
        <v>30506180</v>
      </c>
      <c r="B62" s="27" t="s">
        <v>218</v>
      </c>
      <c r="C62" s="32">
        <v>0</v>
      </c>
      <c r="D62" s="23"/>
      <c r="E62" s="23"/>
      <c r="F62" s="23"/>
      <c r="G62" s="38"/>
      <c r="H62" s="23"/>
      <c r="I62" s="11"/>
      <c r="J62" s="11"/>
      <c r="K62" s="11"/>
      <c r="L62" s="11"/>
      <c r="M62" s="52"/>
      <c r="N62" s="52"/>
      <c r="O62" s="52"/>
      <c r="P62" s="52"/>
      <c r="Q62" s="52"/>
      <c r="R62" s="52"/>
      <c r="S62" s="52"/>
      <c r="T62" s="11"/>
    </row>
    <row r="63" spans="1:20" x14ac:dyDescent="0.25">
      <c r="A63" s="21">
        <v>30506180401</v>
      </c>
      <c r="B63" s="14" t="s">
        <v>219</v>
      </c>
      <c r="C63" s="24">
        <v>0</v>
      </c>
      <c r="D63" s="23"/>
      <c r="E63" s="23"/>
      <c r="F63" s="23"/>
      <c r="G63" s="38">
        <f t="shared" ref="G63:G64" si="22">C63+D63-E63+F63</f>
        <v>0</v>
      </c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4">
        <f t="shared" ref="T63:T64" si="23">H63+I63+J63+K63+L63+M63+N63+O63+P63+Q63+R63+S63</f>
        <v>0</v>
      </c>
    </row>
    <row r="64" spans="1:20" x14ac:dyDescent="0.25">
      <c r="A64" s="21">
        <v>30506180402</v>
      </c>
      <c r="B64" s="14" t="s">
        <v>220</v>
      </c>
      <c r="C64" s="24">
        <v>0</v>
      </c>
      <c r="D64" s="23"/>
      <c r="E64" s="23"/>
      <c r="F64" s="23"/>
      <c r="G64" s="38">
        <f t="shared" si="22"/>
        <v>0</v>
      </c>
      <c r="H64" s="23"/>
      <c r="I64" s="23"/>
      <c r="J64" s="23"/>
      <c r="K64" s="23"/>
      <c r="L64" s="23"/>
      <c r="M64" s="23"/>
      <c r="N64" s="59"/>
      <c r="O64" s="59"/>
      <c r="P64" s="59"/>
      <c r="Q64" s="59"/>
      <c r="R64" s="59"/>
      <c r="S64" s="59"/>
      <c r="T64" s="24">
        <f t="shared" si="23"/>
        <v>0</v>
      </c>
    </row>
    <row r="65" spans="1:20" ht="15.75" x14ac:dyDescent="0.25">
      <c r="A65" s="14"/>
      <c r="B65" s="31" t="s">
        <v>221</v>
      </c>
      <c r="C65" s="13">
        <f>C62+C63+C64</f>
        <v>0</v>
      </c>
      <c r="D65" s="23"/>
      <c r="E65" s="23"/>
      <c r="F65" s="23"/>
      <c r="G65" s="38"/>
      <c r="H65" s="23"/>
      <c r="I65" s="11"/>
      <c r="J65" s="11"/>
      <c r="K65" s="11"/>
      <c r="L65" s="11"/>
      <c r="M65" s="52"/>
      <c r="N65" s="52"/>
      <c r="O65" s="52"/>
      <c r="P65" s="52"/>
      <c r="Q65" s="52"/>
      <c r="R65" s="52"/>
      <c r="S65" s="52"/>
      <c r="T65" s="11"/>
    </row>
    <row r="66" spans="1:20" ht="18.75" x14ac:dyDescent="0.4">
      <c r="A66" s="16">
        <v>30507</v>
      </c>
      <c r="B66" s="17" t="s">
        <v>222</v>
      </c>
      <c r="C66" s="11"/>
      <c r="D66" s="23"/>
      <c r="E66" s="23"/>
      <c r="F66" s="23"/>
      <c r="G66" s="38"/>
      <c r="H66" s="23"/>
      <c r="I66" s="11"/>
      <c r="J66" s="11"/>
      <c r="K66" s="11"/>
      <c r="L66" s="11"/>
      <c r="M66" s="52"/>
      <c r="N66" s="52"/>
      <c r="O66" s="52"/>
      <c r="P66" s="52"/>
      <c r="Q66" s="52"/>
      <c r="R66" s="52"/>
      <c r="S66" s="52"/>
      <c r="T66" s="11"/>
    </row>
    <row r="67" spans="1:20" ht="15.75" x14ac:dyDescent="0.3">
      <c r="A67" s="33">
        <v>30507180</v>
      </c>
      <c r="B67" s="33" t="s">
        <v>223</v>
      </c>
      <c r="C67" s="11"/>
      <c r="D67" s="23"/>
      <c r="E67" s="23"/>
      <c r="F67" s="23"/>
      <c r="G67" s="38"/>
      <c r="H67" s="23"/>
      <c r="I67" s="11"/>
      <c r="J67" s="11"/>
      <c r="K67" s="11"/>
      <c r="L67" s="11"/>
      <c r="M67" s="52"/>
      <c r="N67" s="52"/>
      <c r="O67" s="52"/>
      <c r="P67" s="52"/>
      <c r="Q67" s="52"/>
      <c r="R67" s="52"/>
      <c r="S67" s="52"/>
      <c r="T67" s="24">
        <f t="shared" ref="T67" si="24">H67+I67+J67+K67+L67+M67+N67+O67+P67+Q67+R67</f>
        <v>0</v>
      </c>
    </row>
    <row r="68" spans="1:20" x14ac:dyDescent="0.25">
      <c r="A68" s="21">
        <v>30507180401</v>
      </c>
      <c r="B68" s="14" t="s">
        <v>224</v>
      </c>
      <c r="C68" s="24">
        <v>400000000</v>
      </c>
      <c r="D68" s="23"/>
      <c r="E68" s="23"/>
      <c r="F68" s="23"/>
      <c r="G68" s="38">
        <f t="shared" ref="G68:G72" si="25">C68+D68-E68+F68</f>
        <v>400000000</v>
      </c>
      <c r="H68" s="23"/>
      <c r="I68" s="11"/>
      <c r="J68" s="11"/>
      <c r="K68" s="11"/>
      <c r="L68" s="11"/>
      <c r="M68" s="52"/>
      <c r="N68" s="52"/>
      <c r="O68" s="52"/>
      <c r="P68" s="52"/>
      <c r="Q68" s="52"/>
      <c r="R68" s="52"/>
      <c r="S68" s="52"/>
      <c r="T68" s="24">
        <f t="shared" ref="T68:T72" si="26">H68+I68+J68+K68+L68+M68+N68+O68+P68+Q68+R68+S68</f>
        <v>0</v>
      </c>
    </row>
    <row r="69" spans="1:20" x14ac:dyDescent="0.25">
      <c r="A69" s="21">
        <v>30507180402</v>
      </c>
      <c r="B69" s="14" t="s">
        <v>225</v>
      </c>
      <c r="C69" s="24">
        <v>481700000</v>
      </c>
      <c r="D69" s="23"/>
      <c r="E69" s="23"/>
      <c r="F69" s="23"/>
      <c r="G69" s="38">
        <f t="shared" si="25"/>
        <v>481700000</v>
      </c>
      <c r="H69" s="23"/>
      <c r="I69" s="11"/>
      <c r="J69" s="11"/>
      <c r="K69" s="11"/>
      <c r="L69" s="11"/>
      <c r="M69" s="52"/>
      <c r="N69" s="52"/>
      <c r="O69" s="52"/>
      <c r="P69" s="52"/>
      <c r="Q69" s="52"/>
      <c r="R69" s="52"/>
      <c r="S69" s="52"/>
      <c r="T69" s="24">
        <f t="shared" si="26"/>
        <v>0</v>
      </c>
    </row>
    <row r="70" spans="1:20" x14ac:dyDescent="0.25">
      <c r="A70" s="21">
        <v>30507180403</v>
      </c>
      <c r="B70" s="14" t="s">
        <v>226</v>
      </c>
      <c r="C70" s="24">
        <v>370000000</v>
      </c>
      <c r="D70" s="23"/>
      <c r="E70" s="23"/>
      <c r="F70" s="23"/>
      <c r="G70" s="38">
        <f t="shared" si="25"/>
        <v>370000000</v>
      </c>
      <c r="H70" s="23"/>
      <c r="I70" s="11"/>
      <c r="J70" s="11"/>
      <c r="K70" s="11"/>
      <c r="L70" s="11"/>
      <c r="M70" s="52"/>
      <c r="N70" s="52"/>
      <c r="O70" s="52"/>
      <c r="P70" s="52"/>
      <c r="Q70" s="52"/>
      <c r="R70" s="52"/>
      <c r="S70" s="52"/>
      <c r="T70" s="24">
        <f t="shared" si="26"/>
        <v>0</v>
      </c>
    </row>
    <row r="71" spans="1:20" x14ac:dyDescent="0.25">
      <c r="A71" s="21">
        <v>30507180404</v>
      </c>
      <c r="B71" s="14" t="s">
        <v>227</v>
      </c>
      <c r="C71" s="24">
        <v>1082500000</v>
      </c>
      <c r="D71" s="23"/>
      <c r="E71" s="23"/>
      <c r="F71" s="23"/>
      <c r="G71" s="38">
        <f t="shared" si="25"/>
        <v>1082500000</v>
      </c>
      <c r="H71" s="23"/>
      <c r="I71" s="11"/>
      <c r="J71" s="11"/>
      <c r="K71" s="11"/>
      <c r="L71" s="11"/>
      <c r="M71" s="52"/>
      <c r="N71" s="52"/>
      <c r="O71" s="52"/>
      <c r="P71" s="52"/>
      <c r="Q71" s="52"/>
      <c r="R71" s="52"/>
      <c r="S71" s="52"/>
      <c r="T71" s="24">
        <f t="shared" si="26"/>
        <v>0</v>
      </c>
    </row>
    <row r="72" spans="1:20" x14ac:dyDescent="0.25">
      <c r="A72" s="21">
        <v>30507180405</v>
      </c>
      <c r="B72" s="14" t="s">
        <v>228</v>
      </c>
      <c r="C72" s="24">
        <v>556800000</v>
      </c>
      <c r="D72" s="23"/>
      <c r="E72" s="23"/>
      <c r="F72" s="23"/>
      <c r="G72" s="38">
        <f t="shared" si="25"/>
        <v>556800000</v>
      </c>
      <c r="H72" s="23"/>
      <c r="I72" s="11"/>
      <c r="J72" s="11"/>
      <c r="K72" s="11"/>
      <c r="L72" s="11"/>
      <c r="M72" s="52"/>
      <c r="N72" s="52"/>
      <c r="O72" s="52"/>
      <c r="P72" s="52"/>
      <c r="Q72" s="52"/>
      <c r="R72" s="52"/>
      <c r="S72" s="52"/>
      <c r="T72" s="24">
        <f t="shared" si="26"/>
        <v>0</v>
      </c>
    </row>
    <row r="73" spans="1:20" ht="15.75" x14ac:dyDescent="0.25">
      <c r="A73" s="30"/>
      <c r="B73" s="31" t="s">
        <v>229</v>
      </c>
      <c r="C73" s="13">
        <f>SUM(C68:C72)</f>
        <v>2891000000</v>
      </c>
      <c r="D73" s="13">
        <f t="shared" ref="D73:G73" si="27">SUM(D68:D72)</f>
        <v>0</v>
      </c>
      <c r="E73" s="13">
        <f t="shared" si="27"/>
        <v>0</v>
      </c>
      <c r="F73" s="13">
        <f t="shared" si="27"/>
        <v>0</v>
      </c>
      <c r="G73" s="41">
        <f t="shared" si="27"/>
        <v>2891000000</v>
      </c>
      <c r="H73" s="13">
        <f>SUM(H68:H72)</f>
        <v>0</v>
      </c>
      <c r="I73" s="13">
        <f>SUM(I68:I72)</f>
        <v>0</v>
      </c>
      <c r="J73" s="13">
        <f>SUM(J68:J72)</f>
        <v>0</v>
      </c>
      <c r="K73" s="13">
        <f t="shared" ref="K73:S73" si="28">SUM(K68:K72)</f>
        <v>0</v>
      </c>
      <c r="L73" s="13">
        <f t="shared" si="28"/>
        <v>0</v>
      </c>
      <c r="M73" s="13">
        <f t="shared" si="28"/>
        <v>0</v>
      </c>
      <c r="N73" s="13">
        <f t="shared" si="28"/>
        <v>0</v>
      </c>
      <c r="O73" s="13">
        <f t="shared" si="28"/>
        <v>0</v>
      </c>
      <c r="P73" s="13">
        <f t="shared" si="28"/>
        <v>0</v>
      </c>
      <c r="Q73" s="13">
        <f t="shared" si="28"/>
        <v>0</v>
      </c>
      <c r="R73" s="13">
        <f t="shared" si="28"/>
        <v>0</v>
      </c>
      <c r="S73" s="13">
        <f t="shared" si="28"/>
        <v>0</v>
      </c>
      <c r="T73" s="13">
        <f>SUM(T68:T72)</f>
        <v>0</v>
      </c>
    </row>
    <row r="74" spans="1:20" ht="19.5" x14ac:dyDescent="0.4">
      <c r="A74" s="78" t="s">
        <v>230</v>
      </c>
      <c r="B74" s="78"/>
      <c r="C74" s="34">
        <f>C60+C65+C73</f>
        <v>11723000000</v>
      </c>
      <c r="D74" s="34">
        <f t="shared" ref="D74:G74" si="29">D60+D65+D73</f>
        <v>443200000</v>
      </c>
      <c r="E74" s="34">
        <f t="shared" si="29"/>
        <v>443200000</v>
      </c>
      <c r="F74" s="34">
        <f t="shared" si="29"/>
        <v>0</v>
      </c>
      <c r="G74" s="42">
        <f t="shared" si="29"/>
        <v>11723000000</v>
      </c>
      <c r="H74" s="34">
        <f>H60+H65+H73</f>
        <v>474167729</v>
      </c>
      <c r="I74" s="34">
        <f>I60+I65+I73</f>
        <v>589467044</v>
      </c>
      <c r="J74" s="34">
        <f>J60+J65+J73</f>
        <v>615146217</v>
      </c>
      <c r="K74" s="34">
        <f t="shared" ref="K74:S74" si="30">K60+K65+K73</f>
        <v>478418348</v>
      </c>
      <c r="L74" s="34">
        <f t="shared" si="30"/>
        <v>914601200</v>
      </c>
      <c r="M74" s="34">
        <f t="shared" si="30"/>
        <v>812709424</v>
      </c>
      <c r="N74" s="34">
        <f t="shared" si="30"/>
        <v>968793595</v>
      </c>
      <c r="O74" s="34">
        <f t="shared" si="30"/>
        <v>559991367</v>
      </c>
      <c r="P74" s="34">
        <f t="shared" si="30"/>
        <v>470135200</v>
      </c>
      <c r="Q74" s="34">
        <f t="shared" si="30"/>
        <v>492311627</v>
      </c>
      <c r="R74" s="34">
        <f t="shared" si="30"/>
        <v>545910493</v>
      </c>
      <c r="S74" s="34">
        <f t="shared" si="30"/>
        <v>890144202</v>
      </c>
      <c r="T74" s="34">
        <f>T60+T65+T73</f>
        <v>7811796446</v>
      </c>
    </row>
    <row r="76" spans="1:20" x14ac:dyDescent="0.25">
      <c r="C76" s="66"/>
      <c r="G76" s="57"/>
      <c r="H76" s="58"/>
      <c r="T76" s="66"/>
    </row>
    <row r="77" spans="1:20" x14ac:dyDescent="0.25">
      <c r="C77" s="66"/>
      <c r="G77" s="58"/>
      <c r="H77" s="58"/>
      <c r="T77" s="66"/>
    </row>
    <row r="78" spans="1:20" x14ac:dyDescent="0.25">
      <c r="G78" s="58"/>
      <c r="H78" s="58"/>
    </row>
  </sheetData>
  <mergeCells count="20">
    <mergeCell ref="A74:B74"/>
    <mergeCell ref="D1:E1"/>
    <mergeCell ref="F1:F2"/>
    <mergeCell ref="G1:G2"/>
    <mergeCell ref="H1:H2"/>
    <mergeCell ref="P1:P2"/>
    <mergeCell ref="T1:T2"/>
    <mergeCell ref="A1:A2"/>
    <mergeCell ref="B1:B2"/>
    <mergeCell ref="C1:C2"/>
    <mergeCell ref="I1:I2"/>
    <mergeCell ref="J1:J2"/>
    <mergeCell ref="K1:K2"/>
    <mergeCell ref="L1:L2"/>
    <mergeCell ref="M1:M2"/>
    <mergeCell ref="N1:N2"/>
    <mergeCell ref="O1:O2"/>
    <mergeCell ref="Q1:Q2"/>
    <mergeCell ref="R1:R2"/>
    <mergeCell ref="S1:S2"/>
  </mergeCells>
  <pageMargins left="0.70866141732283472" right="0.70866141732283472" top="0.74803149606299213" bottom="0.74803149606299213" header="0.31496062992125984" footer="0.31496062992125984"/>
  <pageSetup paperSize="190" scale="6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"/>
  <sheetViews>
    <sheetView topLeftCell="B1" workbookViewId="0">
      <selection activeCell="F18" sqref="F18"/>
    </sheetView>
  </sheetViews>
  <sheetFormatPr baseColWidth="10" defaultRowHeight="15" x14ac:dyDescent="0.25"/>
  <cols>
    <col min="1" max="1" width="7.28515625" customWidth="1"/>
    <col min="2" max="2" width="36.42578125" customWidth="1"/>
    <col min="3" max="3" width="16.140625" customWidth="1"/>
    <col min="4" max="4" width="15.5703125" customWidth="1"/>
    <col min="5" max="5" width="16.85546875" customWidth="1"/>
    <col min="6" max="6" width="16.7109375" customWidth="1"/>
    <col min="7" max="7" width="15.5703125" customWidth="1"/>
    <col min="8" max="8" width="16" customWidth="1"/>
    <col min="9" max="9" width="14.85546875" customWidth="1"/>
    <col min="10" max="10" width="15.7109375" customWidth="1"/>
    <col min="11" max="11" width="15.7109375" style="50" customWidth="1"/>
    <col min="12" max="12" width="16.140625" style="50" customWidth="1"/>
    <col min="13" max="13" width="17.5703125" customWidth="1"/>
    <col min="14" max="14" width="15" customWidth="1"/>
    <col min="15" max="15" width="17.7109375" customWidth="1"/>
  </cols>
  <sheetData>
    <row r="1" spans="1:13" s="50" customFormat="1" ht="15" customHeight="1" x14ac:dyDescent="0.25">
      <c r="A1" s="72" t="s">
        <v>0</v>
      </c>
      <c r="B1" s="72" t="s">
        <v>1</v>
      </c>
      <c r="C1" s="72" t="s">
        <v>2</v>
      </c>
      <c r="D1" s="72" t="s">
        <v>155</v>
      </c>
      <c r="E1" s="72" t="s">
        <v>237</v>
      </c>
      <c r="F1" s="72" t="s">
        <v>240</v>
      </c>
      <c r="G1" s="72" t="s">
        <v>242</v>
      </c>
      <c r="H1" s="72" t="s">
        <v>249</v>
      </c>
      <c r="I1" s="72" t="s">
        <v>291</v>
      </c>
      <c r="J1" s="72" t="s">
        <v>292</v>
      </c>
      <c r="K1" s="72" t="s">
        <v>294</v>
      </c>
      <c r="L1" s="72" t="s">
        <v>296</v>
      </c>
      <c r="M1" s="72" t="s">
        <v>297</v>
      </c>
    </row>
    <row r="2" spans="1:13" x14ac:dyDescent="0.25">
      <c r="A2" s="73"/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</row>
    <row r="3" spans="1:13" x14ac:dyDescent="0.25">
      <c r="A3" s="62">
        <v>2.2999999999999998</v>
      </c>
      <c r="B3" s="63" t="s">
        <v>139</v>
      </c>
      <c r="C3" s="64">
        <f>SUM(C4:C7)</f>
        <v>3200000000</v>
      </c>
      <c r="D3" s="64">
        <f t="shared" ref="D3:M3" si="0">SUM(D4:D7)</f>
        <v>197869634</v>
      </c>
      <c r="E3" s="64">
        <f t="shared" si="0"/>
        <v>215741174</v>
      </c>
      <c r="F3" s="64">
        <f t="shared" si="0"/>
        <v>257871476</v>
      </c>
      <c r="G3" s="64">
        <f t="shared" si="0"/>
        <v>180037481</v>
      </c>
      <c r="H3" s="64">
        <f t="shared" si="0"/>
        <v>186488024</v>
      </c>
      <c r="I3" s="64">
        <f t="shared" si="0"/>
        <v>335286750</v>
      </c>
      <c r="J3" s="64">
        <f t="shared" si="0"/>
        <v>444885769</v>
      </c>
      <c r="K3" s="64">
        <f t="shared" si="0"/>
        <v>341778845</v>
      </c>
      <c r="L3" s="64">
        <f t="shared" si="0"/>
        <v>349779172</v>
      </c>
      <c r="M3" s="64">
        <f t="shared" si="0"/>
        <v>2159959153</v>
      </c>
    </row>
    <row r="4" spans="1:13" x14ac:dyDescent="0.25">
      <c r="A4" s="4" t="s">
        <v>140</v>
      </c>
      <c r="B4" s="5" t="s">
        <v>141</v>
      </c>
      <c r="C4" s="6">
        <v>1400000000</v>
      </c>
      <c r="D4" s="12">
        <v>92568754</v>
      </c>
      <c r="E4" s="12">
        <v>118954621</v>
      </c>
      <c r="F4" s="12">
        <v>129568462</v>
      </c>
      <c r="G4" s="12">
        <f>62628993+17640589</f>
        <v>80269582</v>
      </c>
      <c r="H4" s="12">
        <f>60140598+13220333</f>
        <v>73360931</v>
      </c>
      <c r="I4" s="12">
        <f>87487926+21157692</f>
        <v>108645618</v>
      </c>
      <c r="J4" s="12">
        <f>164478146+10157557</f>
        <v>174635703</v>
      </c>
      <c r="K4" s="12">
        <f>29540384+79278014</f>
        <v>108818398</v>
      </c>
      <c r="L4" s="12">
        <f>99527395+20207772</f>
        <v>119735167</v>
      </c>
      <c r="M4" s="12">
        <f>D4+E4+F4+G4+H4+I4+J4+K4</f>
        <v>886822069</v>
      </c>
    </row>
    <row r="5" spans="1:13" x14ac:dyDescent="0.25">
      <c r="A5" s="4" t="s">
        <v>142</v>
      </c>
      <c r="B5" s="5" t="s">
        <v>243</v>
      </c>
      <c r="C5" s="6">
        <v>520000000</v>
      </c>
      <c r="D5" s="12">
        <f>12841262+28975643</f>
        <v>41816905</v>
      </c>
      <c r="E5" s="12">
        <f>14109334+29875644</f>
        <v>43984978</v>
      </c>
      <c r="F5" s="12">
        <v>51698712</v>
      </c>
      <c r="G5" s="12">
        <f>41717920</f>
        <v>41717920</v>
      </c>
      <c r="H5" s="12">
        <f>38766919+21905590</f>
        <v>60672509</v>
      </c>
      <c r="I5" s="12">
        <f>79294641+28124993</f>
        <v>107419634</v>
      </c>
      <c r="J5" s="12">
        <v>137312066</v>
      </c>
      <c r="K5" s="12">
        <f>89388200+26672343</f>
        <v>116060543</v>
      </c>
      <c r="L5" s="12">
        <v>87553503</v>
      </c>
      <c r="M5" s="12">
        <f t="shared" ref="M5:M7" si="1">D5+E5+F5+G5+H5+I5+J5+K5</f>
        <v>600683267</v>
      </c>
    </row>
    <row r="6" spans="1:13" x14ac:dyDescent="0.25">
      <c r="A6" s="4" t="s">
        <v>143</v>
      </c>
      <c r="B6" s="5" t="s">
        <v>144</v>
      </c>
      <c r="C6" s="6">
        <v>630000000</v>
      </c>
      <c r="D6" s="12">
        <v>38796421</v>
      </c>
      <c r="E6" s="12">
        <v>32546789</v>
      </c>
      <c r="F6" s="12">
        <v>39875642</v>
      </c>
      <c r="G6" s="12">
        <v>21715204</v>
      </c>
      <c r="H6" s="12">
        <v>19875642</v>
      </c>
      <c r="I6" s="12">
        <v>47137935</v>
      </c>
      <c r="J6" s="12">
        <f>241119+2762+58794621</f>
        <v>59038502</v>
      </c>
      <c r="K6" s="12">
        <f>39785842</f>
        <v>39785842</v>
      </c>
      <c r="L6" s="12">
        <v>63541673</v>
      </c>
      <c r="M6" s="12">
        <f t="shared" si="1"/>
        <v>298771977</v>
      </c>
    </row>
    <row r="7" spans="1:13" x14ac:dyDescent="0.25">
      <c r="A7" s="4" t="s">
        <v>145</v>
      </c>
      <c r="B7" s="5" t="s">
        <v>146</v>
      </c>
      <c r="C7" s="6">
        <v>650000000</v>
      </c>
      <c r="D7" s="12">
        <v>24687554</v>
      </c>
      <c r="E7" s="12">
        <v>20254786</v>
      </c>
      <c r="F7" s="12">
        <v>36728660</v>
      </c>
      <c r="G7" s="12">
        <v>36334775</v>
      </c>
      <c r="H7" s="12">
        <v>32578942</v>
      </c>
      <c r="I7" s="12">
        <v>72083563</v>
      </c>
      <c r="J7" s="12">
        <v>73899498</v>
      </c>
      <c r="K7" s="12">
        <f>52792458+24321604</f>
        <v>77114062</v>
      </c>
      <c r="L7" s="12">
        <f>1350+515656+78431823</f>
        <v>78948829</v>
      </c>
      <c r="M7" s="12">
        <f t="shared" si="1"/>
        <v>373681840</v>
      </c>
    </row>
    <row r="8" spans="1:13" x14ac:dyDescent="0.25">
      <c r="A8" s="50"/>
      <c r="B8" s="50"/>
      <c r="C8" s="50"/>
      <c r="D8" s="50"/>
      <c r="E8" s="50"/>
      <c r="F8" s="50"/>
      <c r="G8" s="50"/>
      <c r="H8" s="50"/>
      <c r="I8" s="50"/>
      <c r="J8" s="50"/>
      <c r="M8" s="50"/>
    </row>
    <row r="9" spans="1:13" x14ac:dyDescent="0.25">
      <c r="A9" s="81" t="s">
        <v>298</v>
      </c>
      <c r="B9" s="82"/>
      <c r="C9" s="6">
        <v>207601557</v>
      </c>
      <c r="D9" s="52"/>
    </row>
    <row r="10" spans="1:13" x14ac:dyDescent="0.25">
      <c r="A10" s="81" t="s">
        <v>299</v>
      </c>
      <c r="B10" s="82"/>
      <c r="C10" s="6">
        <v>367932634</v>
      </c>
      <c r="D10" s="52"/>
    </row>
    <row r="11" spans="1:13" x14ac:dyDescent="0.25">
      <c r="A11" s="81" t="s">
        <v>300</v>
      </c>
      <c r="B11" s="82"/>
      <c r="C11" s="12">
        <f>C10-C9</f>
        <v>160331077</v>
      </c>
      <c r="D11" s="61">
        <v>0.56000000000000005</v>
      </c>
    </row>
    <row r="14" spans="1:13" x14ac:dyDescent="0.25">
      <c r="E14" s="43"/>
      <c r="F14" s="43"/>
    </row>
    <row r="15" spans="1:13" x14ac:dyDescent="0.25">
      <c r="E15" s="43"/>
    </row>
  </sheetData>
  <mergeCells count="16">
    <mergeCell ref="A9:B9"/>
    <mergeCell ref="A10:B10"/>
    <mergeCell ref="A11:B11"/>
    <mergeCell ref="A1:A2"/>
    <mergeCell ref="B1:B2"/>
    <mergeCell ref="C1:C2"/>
    <mergeCell ref="D1:D2"/>
    <mergeCell ref="K1:K2"/>
    <mergeCell ref="I1:I2"/>
    <mergeCell ref="J1:J2"/>
    <mergeCell ref="M1:M2"/>
    <mergeCell ref="E1:E2"/>
    <mergeCell ref="F1:F2"/>
    <mergeCell ref="G1:G2"/>
    <mergeCell ref="H1:H2"/>
    <mergeCell ref="L1:L2"/>
  </mergeCells>
  <pageMargins left="0.70866141732283472" right="0.70866141732283472" top="0.74803149606299213" bottom="0.74803149606299213" header="0.31496062992125984" footer="0.31496062992125984"/>
  <pageSetup paperSize="190" scale="65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9"/>
  <sheetViews>
    <sheetView topLeftCell="A24" workbookViewId="0">
      <selection activeCell="G71" sqref="G71"/>
    </sheetView>
  </sheetViews>
  <sheetFormatPr baseColWidth="10" defaultRowHeight="15" x14ac:dyDescent="0.25"/>
  <cols>
    <col min="2" max="2" width="50.7109375" bestFit="1" customWidth="1"/>
    <col min="3" max="3" width="23.5703125" bestFit="1" customWidth="1"/>
    <col min="4" max="4" width="15.85546875" bestFit="1" customWidth="1"/>
    <col min="5" max="5" width="16.7109375" customWidth="1"/>
    <col min="6" max="6" width="13.140625" bestFit="1" customWidth="1"/>
  </cols>
  <sheetData>
    <row r="1" spans="1:5" ht="18.75" x14ac:dyDescent="0.3">
      <c r="A1" s="85" t="s">
        <v>261</v>
      </c>
      <c r="B1" s="85"/>
      <c r="C1" s="85"/>
      <c r="D1" s="85"/>
    </row>
    <row r="2" spans="1:5" x14ac:dyDescent="0.25">
      <c r="C2" s="83" t="s">
        <v>252</v>
      </c>
      <c r="D2" s="84"/>
      <c r="E2" s="48"/>
    </row>
    <row r="3" spans="1:5" x14ac:dyDescent="0.25">
      <c r="C3" s="49" t="s">
        <v>257</v>
      </c>
      <c r="D3" s="49" t="s">
        <v>258</v>
      </c>
      <c r="E3" s="43"/>
    </row>
    <row r="4" spans="1:5" x14ac:dyDescent="0.25">
      <c r="C4" s="47">
        <v>976916667</v>
      </c>
      <c r="D4" s="47">
        <v>499779365</v>
      </c>
      <c r="E4" s="43"/>
    </row>
    <row r="6" spans="1:5" x14ac:dyDescent="0.25">
      <c r="C6" s="83" t="s">
        <v>253</v>
      </c>
      <c r="D6" s="84"/>
    </row>
    <row r="7" spans="1:5" x14ac:dyDescent="0.25">
      <c r="C7" s="49" t="s">
        <v>257</v>
      </c>
      <c r="D7" s="49" t="s">
        <v>258</v>
      </c>
    </row>
    <row r="8" spans="1:5" x14ac:dyDescent="0.25">
      <c r="C8" s="47">
        <v>976916667</v>
      </c>
      <c r="D8" s="47">
        <v>628098169</v>
      </c>
    </row>
    <row r="10" spans="1:5" x14ac:dyDescent="0.25">
      <c r="C10" s="83" t="s">
        <v>254</v>
      </c>
      <c r="D10" s="84"/>
    </row>
    <row r="11" spans="1:5" x14ac:dyDescent="0.25">
      <c r="C11" s="49" t="s">
        <v>257</v>
      </c>
      <c r="D11" s="49" t="s">
        <v>258</v>
      </c>
    </row>
    <row r="12" spans="1:5" x14ac:dyDescent="0.25">
      <c r="C12" s="47">
        <v>976916667</v>
      </c>
      <c r="D12" s="47">
        <v>689963961</v>
      </c>
    </row>
    <row r="14" spans="1:5" x14ac:dyDescent="0.25">
      <c r="C14" s="83" t="s">
        <v>255</v>
      </c>
      <c r="D14" s="84"/>
    </row>
    <row r="15" spans="1:5" x14ac:dyDescent="0.25">
      <c r="C15" s="49" t="s">
        <v>257</v>
      </c>
      <c r="D15" s="49" t="s">
        <v>258</v>
      </c>
    </row>
    <row r="16" spans="1:5" x14ac:dyDescent="0.25">
      <c r="C16" s="47">
        <v>976916667</v>
      </c>
      <c r="D16" s="47">
        <v>680831265</v>
      </c>
    </row>
    <row r="18" spans="2:4" x14ac:dyDescent="0.25">
      <c r="C18" s="83" t="s">
        <v>256</v>
      </c>
      <c r="D18" s="84"/>
    </row>
    <row r="19" spans="2:4" x14ac:dyDescent="0.25">
      <c r="C19" s="49" t="s">
        <v>257</v>
      </c>
      <c r="D19" s="49" t="s">
        <v>258</v>
      </c>
    </row>
    <row r="20" spans="2:4" x14ac:dyDescent="0.25">
      <c r="C20" s="47">
        <v>976916667</v>
      </c>
      <c r="D20" s="47">
        <v>675431265</v>
      </c>
    </row>
    <row r="24" spans="2:4" ht="18.75" x14ac:dyDescent="0.3">
      <c r="B24" s="45" t="s">
        <v>244</v>
      </c>
      <c r="C24" s="46">
        <f>'EJE ING-19'!C85/12</f>
        <v>976916666.66666663</v>
      </c>
    </row>
    <row r="25" spans="2:4" x14ac:dyDescent="0.25">
      <c r="B25" t="s">
        <v>247</v>
      </c>
      <c r="C25" s="43">
        <f>C24-'EJE ING-19'!F85</f>
        <v>487137301.66666663</v>
      </c>
    </row>
    <row r="26" spans="2:4" x14ac:dyDescent="0.25">
      <c r="B26" t="s">
        <v>245</v>
      </c>
      <c r="C26" s="43">
        <f>C24-'EJE ING-19'!G85</f>
        <v>358818497.66666663</v>
      </c>
    </row>
    <row r="27" spans="2:4" x14ac:dyDescent="0.25">
      <c r="B27" t="s">
        <v>246</v>
      </c>
      <c r="C27" s="43">
        <f>C24-'EJE ING-19'!H85</f>
        <v>306952705.66666663</v>
      </c>
    </row>
    <row r="28" spans="2:4" x14ac:dyDescent="0.25">
      <c r="B28" t="s">
        <v>248</v>
      </c>
      <c r="C28" s="43">
        <f>C24-'EJE ING-19'!I85</f>
        <v>295257892.66666663</v>
      </c>
    </row>
    <row r="29" spans="2:4" x14ac:dyDescent="0.25">
      <c r="B29" t="s">
        <v>259</v>
      </c>
      <c r="C29" s="43">
        <v>301485402</v>
      </c>
    </row>
    <row r="30" spans="2:4" ht="18.75" x14ac:dyDescent="0.3">
      <c r="B30" s="45" t="s">
        <v>260</v>
      </c>
      <c r="C30" s="46">
        <f>SUM(C25:C29)</f>
        <v>1749651799.6666665</v>
      </c>
    </row>
    <row r="34" spans="1:5" ht="15.75" x14ac:dyDescent="0.25">
      <c r="B34" s="86" t="s">
        <v>262</v>
      </c>
      <c r="C34" s="86"/>
    </row>
    <row r="35" spans="1:5" ht="15.75" x14ac:dyDescent="0.25">
      <c r="B35" s="51" t="s">
        <v>251</v>
      </c>
      <c r="C35" s="51" t="s">
        <v>263</v>
      </c>
    </row>
    <row r="36" spans="1:5" x14ac:dyDescent="0.25">
      <c r="B36" s="52" t="s">
        <v>162</v>
      </c>
      <c r="C36" s="53">
        <v>290000000</v>
      </c>
    </row>
    <row r="37" spans="1:5" x14ac:dyDescent="0.25">
      <c r="A37" s="50"/>
      <c r="B37" s="52" t="s">
        <v>287</v>
      </c>
      <c r="C37" s="53">
        <v>6872368</v>
      </c>
      <c r="D37" s="50"/>
      <c r="E37" s="50"/>
    </row>
    <row r="38" spans="1:5" x14ac:dyDescent="0.25">
      <c r="B38" s="52" t="s">
        <v>264</v>
      </c>
      <c r="C38" s="53">
        <v>5730152</v>
      </c>
    </row>
    <row r="39" spans="1:5" x14ac:dyDescent="0.25">
      <c r="B39" s="52" t="s">
        <v>265</v>
      </c>
      <c r="C39" s="53">
        <v>16150000</v>
      </c>
    </row>
    <row r="40" spans="1:5" x14ac:dyDescent="0.25">
      <c r="B40" s="52" t="s">
        <v>163</v>
      </c>
      <c r="C40" s="53">
        <v>32850500</v>
      </c>
    </row>
    <row r="41" spans="1:5" x14ac:dyDescent="0.25">
      <c r="B41" s="52" t="s">
        <v>266</v>
      </c>
      <c r="C41" s="53">
        <v>32000000</v>
      </c>
    </row>
    <row r="42" spans="1:5" x14ac:dyDescent="0.25">
      <c r="B42" s="52" t="s">
        <v>267</v>
      </c>
      <c r="C42" s="53">
        <v>97032</v>
      </c>
    </row>
    <row r="43" spans="1:5" x14ac:dyDescent="0.25">
      <c r="B43" s="52" t="s">
        <v>169</v>
      </c>
      <c r="C43" s="53">
        <v>34500000</v>
      </c>
    </row>
    <row r="44" spans="1:5" x14ac:dyDescent="0.25">
      <c r="B44" s="52" t="s">
        <v>268</v>
      </c>
      <c r="C44" s="53">
        <v>7500000</v>
      </c>
    </row>
    <row r="45" spans="1:5" x14ac:dyDescent="0.25">
      <c r="B45" s="52" t="s">
        <v>269</v>
      </c>
      <c r="C45" s="53">
        <v>1700000</v>
      </c>
    </row>
    <row r="46" spans="1:5" x14ac:dyDescent="0.25">
      <c r="B46" s="52" t="s">
        <v>270</v>
      </c>
      <c r="C46" s="53">
        <v>11700000</v>
      </c>
    </row>
    <row r="47" spans="1:5" x14ac:dyDescent="0.25">
      <c r="B47" s="52" t="s">
        <v>271</v>
      </c>
      <c r="C47" s="53">
        <v>4000000</v>
      </c>
    </row>
    <row r="48" spans="1:5" x14ac:dyDescent="0.25">
      <c r="B48" s="52" t="s">
        <v>272</v>
      </c>
      <c r="C48" s="53">
        <v>40900000</v>
      </c>
    </row>
    <row r="49" spans="2:3" x14ac:dyDescent="0.25">
      <c r="B49" s="52" t="s">
        <v>273</v>
      </c>
      <c r="C49" s="53">
        <v>89564287</v>
      </c>
    </row>
    <row r="50" spans="2:3" x14ac:dyDescent="0.25">
      <c r="B50" s="52" t="s">
        <v>274</v>
      </c>
      <c r="C50" s="53">
        <v>7600000</v>
      </c>
    </row>
    <row r="51" spans="2:3" x14ac:dyDescent="0.25">
      <c r="B51" s="52" t="s">
        <v>275</v>
      </c>
      <c r="C51" s="53">
        <v>1960000</v>
      </c>
    </row>
    <row r="52" spans="2:3" x14ac:dyDescent="0.25">
      <c r="B52" s="52" t="s">
        <v>276</v>
      </c>
      <c r="C52" s="53">
        <v>2680564</v>
      </c>
    </row>
    <row r="53" spans="2:3" x14ac:dyDescent="0.25">
      <c r="B53" s="52" t="s">
        <v>277</v>
      </c>
      <c r="C53" s="53">
        <v>8000000</v>
      </c>
    </row>
    <row r="54" spans="2:3" x14ac:dyDescent="0.25">
      <c r="B54" s="52" t="s">
        <v>278</v>
      </c>
      <c r="C54" s="53">
        <v>6740000</v>
      </c>
    </row>
    <row r="55" spans="2:3" x14ac:dyDescent="0.25">
      <c r="B55" s="52" t="s">
        <v>279</v>
      </c>
      <c r="C55" s="53">
        <v>360000</v>
      </c>
    </row>
    <row r="56" spans="2:3" x14ac:dyDescent="0.25">
      <c r="B56" s="52" t="s">
        <v>280</v>
      </c>
      <c r="C56" s="53">
        <v>1010000</v>
      </c>
    </row>
    <row r="57" spans="2:3" x14ac:dyDescent="0.25">
      <c r="B57" s="52" t="s">
        <v>281</v>
      </c>
      <c r="C57" s="53">
        <v>360000</v>
      </c>
    </row>
    <row r="58" spans="2:3" x14ac:dyDescent="0.25">
      <c r="B58" s="52" t="s">
        <v>282</v>
      </c>
      <c r="C58" s="53">
        <v>6360000</v>
      </c>
    </row>
    <row r="59" spans="2:3" x14ac:dyDescent="0.25">
      <c r="B59" s="52" t="s">
        <v>283</v>
      </c>
      <c r="C59" s="53">
        <v>1600000</v>
      </c>
    </row>
    <row r="60" spans="2:3" x14ac:dyDescent="0.25">
      <c r="B60" s="52" t="s">
        <v>284</v>
      </c>
      <c r="C60" s="53">
        <v>3900000</v>
      </c>
    </row>
    <row r="61" spans="2:3" x14ac:dyDescent="0.25">
      <c r="B61" s="52" t="s">
        <v>198</v>
      </c>
      <c r="C61" s="53">
        <v>500000</v>
      </c>
    </row>
    <row r="62" spans="2:3" x14ac:dyDescent="0.25">
      <c r="B62" s="52" t="s">
        <v>213</v>
      </c>
      <c r="C62" s="53">
        <v>6500000</v>
      </c>
    </row>
    <row r="63" spans="2:3" x14ac:dyDescent="0.25">
      <c r="B63" s="52" t="s">
        <v>208</v>
      </c>
      <c r="C63" s="53">
        <v>41000000</v>
      </c>
    </row>
    <row r="64" spans="2:3" x14ac:dyDescent="0.25">
      <c r="B64" s="52" t="s">
        <v>285</v>
      </c>
      <c r="C64" s="53">
        <v>7000000</v>
      </c>
    </row>
    <row r="65" spans="2:5" x14ac:dyDescent="0.25">
      <c r="B65" s="52" t="s">
        <v>289</v>
      </c>
      <c r="C65" s="53">
        <v>0</v>
      </c>
    </row>
    <row r="66" spans="2:5" x14ac:dyDescent="0.25">
      <c r="B66" s="52" t="s">
        <v>286</v>
      </c>
      <c r="C66" s="53">
        <v>1830417</v>
      </c>
    </row>
    <row r="67" spans="2:5" ht="18.75" x14ac:dyDescent="0.3">
      <c r="B67" s="55" t="s">
        <v>288</v>
      </c>
      <c r="C67" s="54">
        <f>SUM(C36:C66)</f>
        <v>670965320</v>
      </c>
    </row>
    <row r="69" spans="2:5" x14ac:dyDescent="0.25">
      <c r="C69" s="50"/>
      <c r="D69" s="50"/>
      <c r="E69" s="50"/>
    </row>
    <row r="70" spans="2:5" x14ac:dyDescent="0.25">
      <c r="C70" s="50"/>
      <c r="D70" s="50"/>
      <c r="E70" s="50"/>
    </row>
    <row r="71" spans="2:5" x14ac:dyDescent="0.25">
      <c r="C71" s="50"/>
      <c r="D71" s="50"/>
      <c r="E71" s="50"/>
    </row>
    <row r="72" spans="2:5" x14ac:dyDescent="0.25">
      <c r="C72" s="50"/>
      <c r="D72" s="50"/>
      <c r="E72" s="50"/>
    </row>
    <row r="73" spans="2:5" x14ac:dyDescent="0.25">
      <c r="C73" s="50"/>
      <c r="D73" s="50"/>
      <c r="E73" s="50"/>
    </row>
    <row r="74" spans="2:5" x14ac:dyDescent="0.25">
      <c r="C74" s="50"/>
      <c r="D74" s="50"/>
      <c r="E74" s="50"/>
    </row>
    <row r="75" spans="2:5" x14ac:dyDescent="0.25">
      <c r="C75" s="50"/>
      <c r="D75" s="50"/>
      <c r="E75" s="50"/>
    </row>
    <row r="76" spans="2:5" x14ac:dyDescent="0.25">
      <c r="C76" s="50"/>
      <c r="D76" s="50"/>
      <c r="E76" s="50"/>
    </row>
    <row r="77" spans="2:5" x14ac:dyDescent="0.25">
      <c r="C77" s="50"/>
      <c r="D77" s="50"/>
      <c r="E77" s="50"/>
    </row>
    <row r="78" spans="2:5" x14ac:dyDescent="0.25">
      <c r="C78" s="50"/>
      <c r="D78" s="50"/>
      <c r="E78" s="50"/>
    </row>
    <row r="79" spans="2:5" x14ac:dyDescent="0.25">
      <c r="C79" s="50"/>
      <c r="D79" s="50"/>
      <c r="E79" s="50"/>
    </row>
  </sheetData>
  <mergeCells count="7">
    <mergeCell ref="C18:D18"/>
    <mergeCell ref="A1:D1"/>
    <mergeCell ref="B34:C34"/>
    <mergeCell ref="C2:D2"/>
    <mergeCell ref="C6:D6"/>
    <mergeCell ref="C10:D10"/>
    <mergeCell ref="C14:D14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EJE ING-19</vt:lpstr>
      <vt:lpstr>EJE GAS-19</vt:lpstr>
      <vt:lpstr>Hoja1</vt:lpstr>
      <vt:lpstr>Hoja2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Joaquin Herazo</dc:creator>
  <cp:lastModifiedBy>Joaquin Herazo</cp:lastModifiedBy>
  <cp:lastPrinted>2020-01-17T14:27:55Z</cp:lastPrinted>
  <dcterms:created xsi:type="dcterms:W3CDTF">2019-02-26T13:17:24Z</dcterms:created>
  <dcterms:modified xsi:type="dcterms:W3CDTF">2020-01-20T21:47:38Z</dcterms:modified>
</cp:coreProperties>
</file>