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joaquin_herazo\Desktop\"/>
    </mc:Choice>
  </mc:AlternateContent>
  <bookViews>
    <workbookView xWindow="0" yWindow="0" windowWidth="24000" windowHeight="9135"/>
  </bookViews>
  <sheets>
    <sheet name="EJEING 2022" sheetId="1" r:id="rId1"/>
    <sheet name="EJEGAS 2022" sheetId="2" r:id="rId2"/>
    <sheet name="Hoja1" sheetId="3" r:id="rId3"/>
  </sheets>
  <definedNames>
    <definedName name="_xlnm._FilterDatabase" localSheetId="0" hidden="1">'EJEING 2022'!$A$1:$R$81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2" i="2"/>
  <c r="D18" i="2" l="1"/>
  <c r="R80" i="1" l="1"/>
  <c r="R76" i="1"/>
  <c r="R75" i="1"/>
  <c r="R74" i="1"/>
  <c r="R73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4" i="1"/>
  <c r="Q80" i="1"/>
  <c r="Q3" i="1"/>
  <c r="Q41" i="1"/>
  <c r="Q5" i="1" s="1"/>
  <c r="Q69" i="1" s="1"/>
  <c r="Q81" i="1" s="1"/>
  <c r="Q72" i="1"/>
  <c r="R41" i="1" l="1"/>
  <c r="T71" i="2"/>
  <c r="T70" i="2"/>
  <c r="T69" i="2"/>
  <c r="T65" i="2"/>
  <c r="T64" i="2"/>
  <c r="T60" i="2"/>
  <c r="T59" i="2"/>
  <c r="T58" i="2"/>
  <c r="T57" i="2"/>
  <c r="T56" i="2"/>
  <c r="T54" i="2"/>
  <c r="T53" i="2"/>
  <c r="T51" i="2"/>
  <c r="T50" i="2"/>
  <c r="T49" i="2"/>
  <c r="T48" i="2"/>
  <c r="T47" i="2"/>
  <c r="T46" i="2"/>
  <c r="T45" i="2"/>
  <c r="T44" i="2"/>
  <c r="T43" i="2"/>
  <c r="T42" i="2"/>
  <c r="T41" i="2"/>
  <c r="T40" i="2"/>
  <c r="T38" i="2"/>
  <c r="T37" i="2"/>
  <c r="T36" i="2"/>
  <c r="T35" i="2"/>
  <c r="T34" i="2"/>
  <c r="T32" i="2"/>
  <c r="T31" i="2"/>
  <c r="T29" i="2"/>
  <c r="T28" i="2"/>
  <c r="T27" i="2"/>
  <c r="T26" i="2"/>
  <c r="T25" i="2"/>
  <c r="T24" i="2"/>
  <c r="T23" i="2"/>
  <c r="T22" i="2"/>
  <c r="T20" i="2"/>
  <c r="T19" i="2"/>
  <c r="T18" i="2"/>
  <c r="T16" i="2"/>
  <c r="T15" i="2"/>
  <c r="T14" i="2"/>
  <c r="T13" i="2"/>
  <c r="T12" i="2"/>
  <c r="T11" i="2"/>
  <c r="T10" i="2"/>
  <c r="T9" i="2"/>
  <c r="T7" i="2"/>
  <c r="T6" i="2"/>
  <c r="T5" i="2"/>
  <c r="S72" i="2"/>
  <c r="S55" i="2"/>
  <c r="S52" i="2"/>
  <c r="S39" i="2"/>
  <c r="S33" i="2"/>
  <c r="S21" i="2"/>
  <c r="S17" i="2"/>
  <c r="S8" i="2"/>
  <c r="S4" i="2"/>
  <c r="S61" i="2" l="1"/>
  <c r="S73" i="2" s="1"/>
  <c r="P72" i="1" l="1"/>
  <c r="P80" i="1" s="1"/>
  <c r="P5" i="1"/>
  <c r="P69" i="1" s="1"/>
  <c r="P81" i="1" l="1"/>
  <c r="P3" i="1"/>
  <c r="R72" i="2" l="1"/>
  <c r="R55" i="2"/>
  <c r="R52" i="2"/>
  <c r="R39" i="2"/>
  <c r="R33" i="2"/>
  <c r="R21" i="2"/>
  <c r="R17" i="2"/>
  <c r="R8" i="2"/>
  <c r="R4" i="2"/>
  <c r="R61" i="2" l="1"/>
  <c r="R73" i="2" s="1"/>
  <c r="E72" i="1"/>
  <c r="E80" i="1" s="1"/>
  <c r="E5" i="1"/>
  <c r="E4" i="1"/>
  <c r="E3" i="1" s="1"/>
  <c r="E69" i="1" l="1"/>
  <c r="E81" i="1" l="1"/>
  <c r="Q72" i="2"/>
  <c r="Q55" i="2"/>
  <c r="Q52" i="2"/>
  <c r="Q39" i="2"/>
  <c r="Q33" i="2"/>
  <c r="Q21" i="2"/>
  <c r="Q17" i="2"/>
  <c r="Q8" i="2"/>
  <c r="Q4" i="2"/>
  <c r="O3" i="1"/>
  <c r="Q61" i="2" l="1"/>
  <c r="Q73" i="2" s="1"/>
  <c r="O19" i="1"/>
  <c r="O68" i="1" l="1"/>
  <c r="O14" i="1"/>
  <c r="O5" i="1" s="1"/>
  <c r="O69" i="1" s="1"/>
  <c r="O76" i="1"/>
  <c r="O72" i="1" s="1"/>
  <c r="O80" i="1" s="1"/>
  <c r="O81" i="1" l="1"/>
  <c r="D72" i="1"/>
  <c r="D80" i="1" s="1"/>
  <c r="D5" i="1"/>
  <c r="D3" i="1"/>
  <c r="E59" i="2"/>
  <c r="D69" i="1" l="1"/>
  <c r="D81" i="1" s="1"/>
  <c r="N3" i="1"/>
  <c r="N5" i="1"/>
  <c r="N69" i="1" s="1"/>
  <c r="N74" i="1"/>
  <c r="N72" i="1" s="1"/>
  <c r="N80" i="1" s="1"/>
  <c r="N42" i="1"/>
  <c r="N41" i="1"/>
  <c r="N14" i="1"/>
  <c r="N8" i="1"/>
  <c r="N81" i="1" l="1"/>
  <c r="P72" i="2"/>
  <c r="P55" i="2"/>
  <c r="P52" i="2"/>
  <c r="P39" i="2"/>
  <c r="P33" i="2"/>
  <c r="P21" i="2"/>
  <c r="P17" i="2"/>
  <c r="P8" i="2"/>
  <c r="P4" i="2"/>
  <c r="M76" i="1"/>
  <c r="P61" i="2" l="1"/>
  <c r="P73" i="2" s="1"/>
  <c r="M74" i="1"/>
  <c r="M72" i="1"/>
  <c r="M80" i="1" s="1"/>
  <c r="M42" i="1"/>
  <c r="M41" i="1"/>
  <c r="M14" i="1"/>
  <c r="M8" i="1"/>
  <c r="M25" i="1"/>
  <c r="L72" i="1" l="1"/>
  <c r="L80" i="1" s="1"/>
  <c r="M5" i="1"/>
  <c r="L5" i="1"/>
  <c r="L74" i="1"/>
  <c r="L14" i="1"/>
  <c r="O72" i="2" l="1"/>
  <c r="O55" i="2"/>
  <c r="O52" i="2"/>
  <c r="O39" i="2"/>
  <c r="O33" i="2"/>
  <c r="O30" i="2"/>
  <c r="O21" i="2"/>
  <c r="O17" i="2"/>
  <c r="O8" i="2"/>
  <c r="O4" i="2"/>
  <c r="O61" i="2" l="1"/>
  <c r="O73" i="2" s="1"/>
  <c r="M3" i="1"/>
  <c r="M69" i="1" s="1"/>
  <c r="M81" i="1" s="1"/>
  <c r="L3" i="1" l="1"/>
  <c r="L69" i="1" s="1"/>
  <c r="L81" i="1" s="1"/>
  <c r="D69" i="2" l="1"/>
  <c r="N72" i="2" l="1"/>
  <c r="N55" i="2"/>
  <c r="N52" i="2"/>
  <c r="N39" i="2"/>
  <c r="N33" i="2"/>
  <c r="M33" i="2"/>
  <c r="N30" i="2"/>
  <c r="M30" i="2"/>
  <c r="N21" i="2"/>
  <c r="N17" i="2"/>
  <c r="N8" i="2"/>
  <c r="N4" i="2"/>
  <c r="N61" i="2" l="1"/>
  <c r="N73" i="2" s="1"/>
  <c r="C52" i="3"/>
  <c r="C46" i="3"/>
  <c r="C40" i="3"/>
  <c r="D29" i="3"/>
  <c r="D27" i="3"/>
  <c r="C7" i="3" l="1"/>
  <c r="C13" i="3" s="1"/>
  <c r="K72" i="1" l="1"/>
  <c r="K80" i="1" s="1"/>
  <c r="K25" i="1" l="1"/>
  <c r="K5" i="1" s="1"/>
  <c r="K3" i="1"/>
  <c r="K69" i="1" l="1"/>
  <c r="K81" i="1" s="1"/>
  <c r="M39" i="2"/>
  <c r="M52" i="2"/>
  <c r="M55" i="2"/>
  <c r="M72" i="2"/>
  <c r="M21" i="2"/>
  <c r="M17" i="2"/>
  <c r="M8" i="2"/>
  <c r="M4" i="2"/>
  <c r="M61" i="2" l="1"/>
  <c r="M73" i="2" s="1"/>
  <c r="L17" i="2" l="1"/>
  <c r="J72" i="1"/>
  <c r="J80" i="1" s="1"/>
  <c r="J7" i="1"/>
  <c r="I7" i="1"/>
  <c r="J3" i="1"/>
  <c r="I3" i="1"/>
  <c r="J25" i="1"/>
  <c r="I19" i="1"/>
  <c r="I14" i="1"/>
  <c r="I73" i="1"/>
  <c r="L72" i="2"/>
  <c r="L55" i="2"/>
  <c r="L52" i="2"/>
  <c r="L39" i="2"/>
  <c r="L33" i="2"/>
  <c r="L30" i="2"/>
  <c r="L21" i="2"/>
  <c r="L8" i="2"/>
  <c r="L4" i="2"/>
  <c r="R72" i="1" l="1"/>
  <c r="J5" i="1"/>
  <c r="J69" i="1" s="1"/>
  <c r="J81" i="1" s="1"/>
  <c r="I5" i="1"/>
  <c r="I69" i="1" s="1"/>
  <c r="I72" i="1"/>
  <c r="I80" i="1" s="1"/>
  <c r="L61" i="2"/>
  <c r="L73" i="2" s="1"/>
  <c r="I25" i="1"/>
  <c r="I81" i="1" l="1"/>
  <c r="K72" i="2"/>
  <c r="K55" i="2"/>
  <c r="K52" i="2"/>
  <c r="K39" i="2"/>
  <c r="K33" i="2"/>
  <c r="K30" i="2" l="1"/>
  <c r="K21" i="2"/>
  <c r="K17" i="2"/>
  <c r="K8" i="2"/>
  <c r="K4" i="2"/>
  <c r="K61" i="2" l="1"/>
  <c r="K73" i="2" s="1"/>
  <c r="H14" i="1"/>
  <c r="H72" i="1"/>
  <c r="H80" i="1" s="1"/>
  <c r="H3" i="1"/>
  <c r="H28" i="1" l="1"/>
  <c r="H25" i="1"/>
  <c r="T72" i="2"/>
  <c r="T55" i="2"/>
  <c r="T52" i="2"/>
  <c r="T33" i="2"/>
  <c r="T30" i="2"/>
  <c r="T21" i="2"/>
  <c r="T17" i="2"/>
  <c r="T8" i="2"/>
  <c r="T4" i="2"/>
  <c r="F55" i="2"/>
  <c r="E55" i="2"/>
  <c r="D55" i="2"/>
  <c r="F52" i="2"/>
  <c r="E52" i="2"/>
  <c r="D52" i="2"/>
  <c r="F39" i="2"/>
  <c r="E39" i="2"/>
  <c r="D39" i="2"/>
  <c r="F33" i="2"/>
  <c r="E33" i="2"/>
  <c r="D33" i="2"/>
  <c r="F30" i="2"/>
  <c r="E30" i="2"/>
  <c r="D30" i="2"/>
  <c r="F21" i="2"/>
  <c r="E21" i="2"/>
  <c r="D21" i="2"/>
  <c r="F17" i="2"/>
  <c r="E17" i="2"/>
  <c r="D17" i="2"/>
  <c r="F8" i="2"/>
  <c r="E8" i="2"/>
  <c r="D8" i="2"/>
  <c r="F4" i="2"/>
  <c r="E4" i="2"/>
  <c r="D4" i="2"/>
  <c r="F72" i="2"/>
  <c r="E72" i="2"/>
  <c r="D72" i="2"/>
  <c r="H5" i="1" l="1"/>
  <c r="H69" i="1" s="1"/>
  <c r="H81" i="1" s="1"/>
  <c r="D61" i="2"/>
  <c r="D73" i="2" s="1"/>
  <c r="T39" i="2"/>
  <c r="T61" i="2" s="1"/>
  <c r="E61" i="2"/>
  <c r="E73" i="2" s="1"/>
  <c r="F61" i="2"/>
  <c r="F73" i="2" s="1"/>
  <c r="J72" i="2"/>
  <c r="I72" i="2"/>
  <c r="H72" i="2"/>
  <c r="J55" i="2"/>
  <c r="I55" i="2"/>
  <c r="H55" i="2"/>
  <c r="J52" i="2"/>
  <c r="I52" i="2"/>
  <c r="H52" i="2"/>
  <c r="J39" i="2"/>
  <c r="I39" i="2"/>
  <c r="H39" i="2"/>
  <c r="J33" i="2"/>
  <c r="J30" i="2"/>
  <c r="J21" i="2"/>
  <c r="J17" i="2"/>
  <c r="J8" i="2"/>
  <c r="J4" i="2"/>
  <c r="T73" i="2" l="1"/>
  <c r="J61" i="2"/>
  <c r="J73" i="2" s="1"/>
  <c r="G34" i="2"/>
  <c r="I33" i="2" l="1"/>
  <c r="H33" i="2"/>
  <c r="I30" i="2"/>
  <c r="H30" i="2"/>
  <c r="I21" i="2"/>
  <c r="H21" i="2"/>
  <c r="I17" i="2"/>
  <c r="H17" i="2"/>
  <c r="I8" i="2"/>
  <c r="H8" i="2"/>
  <c r="I4" i="2"/>
  <c r="H4" i="2"/>
  <c r="G71" i="2"/>
  <c r="G70" i="2"/>
  <c r="G69" i="2"/>
  <c r="G65" i="2"/>
  <c r="G64" i="2"/>
  <c r="G60" i="2"/>
  <c r="G59" i="2"/>
  <c r="G58" i="2"/>
  <c r="G57" i="2"/>
  <c r="G56" i="2"/>
  <c r="G54" i="2"/>
  <c r="G53" i="2"/>
  <c r="G52" i="2" s="1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2" i="2"/>
  <c r="G31" i="2"/>
  <c r="G29" i="2"/>
  <c r="G28" i="2"/>
  <c r="G27" i="2"/>
  <c r="G26" i="2"/>
  <c r="G25" i="2"/>
  <c r="G23" i="2"/>
  <c r="G22" i="2"/>
  <c r="G20" i="2"/>
  <c r="G19" i="2"/>
  <c r="G18" i="2"/>
  <c r="G16" i="2"/>
  <c r="G15" i="2"/>
  <c r="G14" i="2"/>
  <c r="G13" i="2"/>
  <c r="G12" i="2"/>
  <c r="G11" i="2"/>
  <c r="G10" i="2"/>
  <c r="G9" i="2"/>
  <c r="G7" i="2"/>
  <c r="G6" i="2"/>
  <c r="G5" i="2"/>
  <c r="C72" i="2"/>
  <c r="C63" i="2"/>
  <c r="C39" i="2"/>
  <c r="C33" i="2"/>
  <c r="C30" i="2"/>
  <c r="C24" i="2"/>
  <c r="G24" i="2" s="1"/>
  <c r="C21" i="2"/>
  <c r="C17" i="2"/>
  <c r="C8" i="2"/>
  <c r="C4" i="2"/>
  <c r="C61" i="2" l="1"/>
  <c r="C73" i="2" s="1"/>
  <c r="G30" i="2"/>
  <c r="G8" i="2"/>
  <c r="G39" i="2"/>
  <c r="G33" i="2"/>
  <c r="G17" i="2"/>
  <c r="G21" i="2"/>
  <c r="G4" i="2"/>
  <c r="G55" i="2"/>
  <c r="G72" i="2"/>
  <c r="H61" i="2"/>
  <c r="H73" i="2" s="1"/>
  <c r="I61" i="2"/>
  <c r="I73" i="2" s="1"/>
  <c r="G72" i="1"/>
  <c r="G80" i="1" s="1"/>
  <c r="F72" i="1"/>
  <c r="G5" i="1"/>
  <c r="F5" i="1"/>
  <c r="R3" i="1"/>
  <c r="G61" i="2" l="1"/>
  <c r="G73" i="2" s="1"/>
  <c r="F80" i="1"/>
  <c r="R5" i="1"/>
  <c r="R69" i="1" s="1"/>
  <c r="G3" i="1"/>
  <c r="G69" i="1" s="1"/>
  <c r="G81" i="1" s="1"/>
  <c r="R81" i="1" l="1"/>
  <c r="F3" i="1"/>
  <c r="F69" i="1" s="1"/>
  <c r="F81" i="1" s="1"/>
  <c r="C72" i="1" l="1"/>
  <c r="C80" i="1" s="1"/>
  <c r="C5" i="1"/>
  <c r="C3" i="1"/>
  <c r="B28" i="3" l="1"/>
  <c r="D28" i="3" s="1"/>
  <c r="C69" i="1"/>
  <c r="C81" i="1" s="1"/>
</calcChain>
</file>

<file path=xl/sharedStrings.xml><?xml version="1.0" encoding="utf-8"?>
<sst xmlns="http://schemas.openxmlformats.org/spreadsheetml/2006/main" count="403" uniqueCount="354">
  <si>
    <t>CODIGO PPTAL</t>
  </si>
  <si>
    <t>DETALLE</t>
  </si>
  <si>
    <t xml:space="preserve"> PPTO 2022</t>
  </si>
  <si>
    <t>1.01</t>
  </si>
  <si>
    <t>INGRESOS TRIBUTARIOS</t>
  </si>
  <si>
    <t>1.1.01.01.100</t>
  </si>
  <si>
    <t>IMP. SOBRE VEHICULOS AUTOMOTORES</t>
  </si>
  <si>
    <t>1.02</t>
  </si>
  <si>
    <t>INGRESOS NO TRIBUTARIOS</t>
  </si>
  <si>
    <t>1.1.02.03.001.009</t>
  </si>
  <si>
    <t>MULTAS</t>
  </si>
  <si>
    <t>1.1.02.02.102</t>
  </si>
  <si>
    <t>PORTE DE PLACAS</t>
  </si>
  <si>
    <t>1.1.02.02.103</t>
  </si>
  <si>
    <t>FORMATO DE FACTURACION</t>
  </si>
  <si>
    <t>1.1.02.02.104</t>
  </si>
  <si>
    <t>LICENCIA DE CONDUCCION</t>
  </si>
  <si>
    <t>1.1.02.02.105</t>
  </si>
  <si>
    <t>CERTIFICACION  DE LICENCIAS DE CONDUCCION</t>
  </si>
  <si>
    <t>1.1.02.02.106</t>
  </si>
  <si>
    <t>AVALUOS COMERCIALES</t>
  </si>
  <si>
    <t>1.1.02.02.107</t>
  </si>
  <si>
    <t>LEVANTAMIENTO DE CROQUIS</t>
  </si>
  <si>
    <t>1.1.02.02.108</t>
  </si>
  <si>
    <t>SERVICIO DE GRUA</t>
  </si>
  <si>
    <t>1.1.02.02.109</t>
  </si>
  <si>
    <t>GARAJE Y PARQUEO</t>
  </si>
  <si>
    <t>1.1.02.02.110</t>
  </si>
  <si>
    <t>SERVICIO DE ALFEREZ</t>
  </si>
  <si>
    <t>1.1.02.02.111</t>
  </si>
  <si>
    <t>PRUEBA DE ALCOHOLEMIA</t>
  </si>
  <si>
    <t>1.1.02.02.112</t>
  </si>
  <si>
    <t>CHEQUEOS OTRAS PLAZAS</t>
  </si>
  <si>
    <t>1.1.02.02.113</t>
  </si>
  <si>
    <t>CHEQUEOS A DOMICICLIO</t>
  </si>
  <si>
    <t>1.1.02.02.114</t>
  </si>
  <si>
    <t>MATRICULAS</t>
  </si>
  <si>
    <t>1.1.02.02.115</t>
  </si>
  <si>
    <t>PORTE Y TELEGRAMAS</t>
  </si>
  <si>
    <t>1.1.02.02.116</t>
  </si>
  <si>
    <t>TRASPASO</t>
  </si>
  <si>
    <t>1.1.02.02.117</t>
  </si>
  <si>
    <t>RADICACION DE CUENTA</t>
  </si>
  <si>
    <t>1.1.02.02.118</t>
  </si>
  <si>
    <t>TRASLADO DE CUENTA</t>
  </si>
  <si>
    <t>1.1.02.02.119</t>
  </si>
  <si>
    <t>CANCELACION MATRICULA</t>
  </si>
  <si>
    <t>1.1.02.02.120</t>
  </si>
  <si>
    <t>CERTIFICADO DE TRADICION</t>
  </si>
  <si>
    <t>1.1.02.02.121</t>
  </si>
  <si>
    <t>CERTIFICADO DE PROPIEDAD</t>
  </si>
  <si>
    <t>1.1.02.02.122</t>
  </si>
  <si>
    <t>EMBARGOS Y DESEMBARGOS</t>
  </si>
  <si>
    <t>1.1.02.02.123</t>
  </si>
  <si>
    <t>PIGNORACION</t>
  </si>
  <si>
    <t>1.1.02.02.124</t>
  </si>
  <si>
    <t>DESPIGNORACION</t>
  </si>
  <si>
    <t>1.1.02.02.125</t>
  </si>
  <si>
    <t>DUPLICADO DE LICENCIAS TRANSITO</t>
  </si>
  <si>
    <t>1.1.02.02.126</t>
  </si>
  <si>
    <t>REGRABACION</t>
  </si>
  <si>
    <t>1.1.02.02.127</t>
  </si>
  <si>
    <t>DUPLICADO DE PLACAS</t>
  </si>
  <si>
    <t>1.1.02.02.128</t>
  </si>
  <si>
    <t>CAMBIO DE PLACAS</t>
  </si>
  <si>
    <t>1.1.02.02.129</t>
  </si>
  <si>
    <t>CAMBIO DE MOTOR</t>
  </si>
  <si>
    <t>1.1.02.02.130</t>
  </si>
  <si>
    <t>CAMBIO DE SERVICIO</t>
  </si>
  <si>
    <t>1.1.02.02.131</t>
  </si>
  <si>
    <t>CAMBIO DE COLOR</t>
  </si>
  <si>
    <t>1.1.02.02.132</t>
  </si>
  <si>
    <t>CAMBIO  DE CARROCERIA</t>
  </si>
  <si>
    <t>1.1.02.02.133</t>
  </si>
  <si>
    <t>CAMBIO DE EMPRESA</t>
  </si>
  <si>
    <t>1.1.02.02.134</t>
  </si>
  <si>
    <t>CAPACIDAD TRANSPORTADORA</t>
  </si>
  <si>
    <t>1.1.02.02.135</t>
  </si>
  <si>
    <t>REGISTRO DE TRAMITE</t>
  </si>
  <si>
    <t>1.1.02.02.136</t>
  </si>
  <si>
    <t>TARJETA DE  OPERACIÓN TAXI</t>
  </si>
  <si>
    <t>1.1.02.02.137</t>
  </si>
  <si>
    <t>TARJETA DE  OPERACIÓN DE BUSES</t>
  </si>
  <si>
    <t>1.1.02.02.138</t>
  </si>
  <si>
    <t>EXPERTICIO TECNICO</t>
  </si>
  <si>
    <t>1.1.02.02.139</t>
  </si>
  <si>
    <t>FOTOCOPIAS CERTIFICADAS</t>
  </si>
  <si>
    <t>1.1.02.02.140</t>
  </si>
  <si>
    <t>SIN PENDIENTE</t>
  </si>
  <si>
    <t>1.1.02.02.141</t>
  </si>
  <si>
    <t>REPOTENCIACION</t>
  </si>
  <si>
    <t>1.1.02.02.142</t>
  </si>
  <si>
    <t>REGISTRO FOTOGRAFICO</t>
  </si>
  <si>
    <t>1.1.02.02.143</t>
  </si>
  <si>
    <t>REGISTRO POR RECUPERACION EN CASO DE HURTO O PERDIDA DEFINITIVA</t>
  </si>
  <si>
    <t>1.1.02.02.144</t>
  </si>
  <si>
    <t>HABILITACION EMPRESA PERSONA NATURAL</t>
  </si>
  <si>
    <t>1.1.02.02.145</t>
  </si>
  <si>
    <t>HABILITACION EMPRESA PERSONA JURIDICA</t>
  </si>
  <si>
    <t>1.1.02.02.146</t>
  </si>
  <si>
    <t>DESVINCULACION POR MUTUO ACUERDO</t>
  </si>
  <si>
    <t>1.1.02.02.147</t>
  </si>
  <si>
    <t>PAZ Y SALVO</t>
  </si>
  <si>
    <t>1.1.02.02.148</t>
  </si>
  <si>
    <t>REAVALUO</t>
  </si>
  <si>
    <t>1.1.02.02.149</t>
  </si>
  <si>
    <t>RENOVACION DE LICENCIAS DE TRANSITO</t>
  </si>
  <si>
    <t>1.1.02.02.150</t>
  </si>
  <si>
    <t>DUPLICADO O RENOVACION TARJETA DE REGISTRO</t>
  </si>
  <si>
    <t>1.1.02.02.151</t>
  </si>
  <si>
    <t>BLINDAJE Y DESMONTE</t>
  </si>
  <si>
    <t>1.1.02.02.152</t>
  </si>
  <si>
    <t>MODIFICACION DEL PRENDARIO POR ACREEDOR O PROPIETARIO</t>
  </si>
  <si>
    <t>1.1.02.02.153</t>
  </si>
  <si>
    <t>TRANSFORMACION</t>
  </si>
  <si>
    <t>1.1.02.02.154</t>
  </si>
  <si>
    <t>REMATRICULA</t>
  </si>
  <si>
    <t>1.1.02.02.155</t>
  </si>
  <si>
    <t>CONVERSION A GAS NATURAL</t>
  </si>
  <si>
    <t>1.1.02.02.156</t>
  </si>
  <si>
    <t>REGISTRO INICIAL MAQUINARIA AGRICOLA, INDUSTRIAL Y  DE CONSTRUCCION</t>
  </si>
  <si>
    <t>1.1.02.02.157</t>
  </si>
  <si>
    <t>CAMBIO DE PROPIETARIO MAQUINARIA INDUSTRIAL</t>
  </si>
  <si>
    <t>1.1.02.02.158</t>
  </si>
  <si>
    <t>REFACTURACION</t>
  </si>
  <si>
    <t>1.1.02.02.159</t>
  </si>
  <si>
    <t>CONVENIOS</t>
  </si>
  <si>
    <t>1.1.02.02.160</t>
  </si>
  <si>
    <t>DEMARCACIONES</t>
  </si>
  <si>
    <t>1.1.02.02.161</t>
  </si>
  <si>
    <t>PERMISOS</t>
  </si>
  <si>
    <t>1.1.02.02.162</t>
  </si>
  <si>
    <t>TASA DE SEMAFORIZACION</t>
  </si>
  <si>
    <t>1.1.02.02.163</t>
  </si>
  <si>
    <t>OTROS INGRESOS</t>
  </si>
  <si>
    <t>TOTAL INGRESOS CORRIENTES DE LA I.T.T.B</t>
  </si>
  <si>
    <t>1.2</t>
  </si>
  <si>
    <t>RECURSOS DEL CAPITAL</t>
  </si>
  <si>
    <t>1.2.07</t>
  </si>
  <si>
    <t>RECURSOS DEL CREDITO</t>
  </si>
  <si>
    <t>1.2.09</t>
  </si>
  <si>
    <t>RECUPERACION DE CARTERA</t>
  </si>
  <si>
    <t>1.2.09.01</t>
  </si>
  <si>
    <t>Recuperacion cartera  comparendos</t>
  </si>
  <si>
    <t>1.2.09.02</t>
  </si>
  <si>
    <t>Recuperacion cartera  intereses</t>
  </si>
  <si>
    <t>1.2.09.03</t>
  </si>
  <si>
    <t>Recuperacion cartera porte de placas</t>
  </si>
  <si>
    <t>1.2.09.04</t>
  </si>
  <si>
    <t>Recuperacion cartera Sistematizacion y Facturacion</t>
  </si>
  <si>
    <t>1.2.05</t>
  </si>
  <si>
    <t>RENDIMIENTO FINANCIERO</t>
  </si>
  <si>
    <t>1,2,01</t>
  </si>
  <si>
    <t>VENTA DE ACTIVO</t>
  </si>
  <si>
    <t>1.2.10</t>
  </si>
  <si>
    <t>RECURSOS DEL BALANCE</t>
  </si>
  <si>
    <t>TOTAL INGRESOS CAPITAL DE LA I.T.T.B</t>
  </si>
  <si>
    <t>TOTAL PRESUPUESTO INGRESOS 2022</t>
  </si>
  <si>
    <t>ADICION PRESUPUESTAL</t>
  </si>
  <si>
    <t>PRESUPUESTO AJUSTADO</t>
  </si>
  <si>
    <t>RECAUDO ENERO 2022</t>
  </si>
  <si>
    <t>RECAUDO FEBRERO 2022</t>
  </si>
  <si>
    <t xml:space="preserve">CONCEPTO </t>
  </si>
  <si>
    <t>TRASLADOS PRESUPUETALES</t>
  </si>
  <si>
    <t>ADICION</t>
  </si>
  <si>
    <t>COMPROMETIDO ENERO</t>
  </si>
  <si>
    <t>COMPROMETIDO FEBRERO</t>
  </si>
  <si>
    <t>CREDITOS</t>
  </si>
  <si>
    <t>CONTRACREDITOS</t>
  </si>
  <si>
    <t>PPTO 2022</t>
  </si>
  <si>
    <t>CODIGO CCPET</t>
  </si>
  <si>
    <t>2.1</t>
  </si>
  <si>
    <t>GASTOS DE FUNCIONAMIENTO</t>
  </si>
  <si>
    <t>2.1.1</t>
  </si>
  <si>
    <t>GASTOS DE PERSONAL</t>
  </si>
  <si>
    <t>2.1.1.01.01.001.01</t>
  </si>
  <si>
    <t>SUELDO BASICO</t>
  </si>
  <si>
    <t>2.1.1.01.01.001.06</t>
  </si>
  <si>
    <t>PRIMA DE SERVICIOS</t>
  </si>
  <si>
    <t>2.1.1.01.01.001.07</t>
  </si>
  <si>
    <t xml:space="preserve">BONIFICACION POR SERVICIOS PRESTADOS </t>
  </si>
  <si>
    <t>2.1.1.01.01.001.08</t>
  </si>
  <si>
    <t>PRESTACIONES SOCIALES</t>
  </si>
  <si>
    <t>2.1.1.01.01.001.08.01</t>
  </si>
  <si>
    <t>PRIMA DE NAVIDAD</t>
  </si>
  <si>
    <t>2.1.1.01.01.001.08.02</t>
  </si>
  <si>
    <t>PRIMA DE VACACIONES</t>
  </si>
  <si>
    <t>2.1.1.01.03.001.02</t>
  </si>
  <si>
    <t>INDEMNIZACION POR VACACIONES</t>
  </si>
  <si>
    <t>2.1.1.01.01.001.04</t>
  </si>
  <si>
    <t>SUBSIDIO DE ALIMENTACION</t>
  </si>
  <si>
    <t>2.1.1.01.03.001.03</t>
  </si>
  <si>
    <t>BONIFICACION ESPECIAL POR RECREACION</t>
  </si>
  <si>
    <t>2.1.1.01.01.001.05</t>
  </si>
  <si>
    <t>AUXILIO DE TRANSPORTE</t>
  </si>
  <si>
    <t>2.1.1.01.03.029</t>
  </si>
  <si>
    <t>BONIFICACION POR SEGURO DE VIDA COLECTIVO</t>
  </si>
  <si>
    <t>2.1.1.01.01.001.02</t>
  </si>
  <si>
    <t>HORAS EXTRAS, DOMINICALES,FESTIVOS, RECARGOS</t>
  </si>
  <si>
    <t>2.1.1.02</t>
  </si>
  <si>
    <t>SERVICIOS PERSONALES INDIRECTOS</t>
  </si>
  <si>
    <t>2.1.1.01.01.002</t>
  </si>
  <si>
    <t>REMUNERACION POR SERVICIOS TECNICOS Y PROFESIONALES</t>
  </si>
  <si>
    <t>2.1.1.02.01.001.01</t>
  </si>
  <si>
    <t>PERSONAL TEMPORAL Y SUPERNUMERARIO SUELDO BASICO</t>
  </si>
  <si>
    <t>2.1.1.02.01.001.03</t>
  </si>
  <si>
    <t>GASTOS DE REPRESENTACIÓN (OTROS GASTOS POR SERVICIOS PERSONALES)</t>
  </si>
  <si>
    <t>2.1.1.02.02</t>
  </si>
  <si>
    <t>CONTRIBUCIONES INHERENTES A LA NOMINA SECTOR PRIVADO</t>
  </si>
  <si>
    <t>2.1.1.02.02.001</t>
  </si>
  <si>
    <t>APORTES A LA SEGURIDAD SOCIAL EN PENSION</t>
  </si>
  <si>
    <t>2.1.1.02.02.002</t>
  </si>
  <si>
    <t>APORTES A LA SEGURIDAD SOCIAL EN SALUD</t>
  </si>
  <si>
    <t>2.1.1.02.02.005</t>
  </si>
  <si>
    <t>APORTES GENERALES AL SISTEMA DE RIESGOS LABORALES</t>
  </si>
  <si>
    <t>2.1.1.02.02.004</t>
  </si>
  <si>
    <t>CAJA DECOMPENSACIÒN FAMILIAR (4%)</t>
  </si>
  <si>
    <t>2.1.1.02.02.006</t>
  </si>
  <si>
    <t>APORTES AL INST. COL. BIENESTAR FAMILIAR (3%)</t>
  </si>
  <si>
    <t>2.1.1.02.02.007</t>
  </si>
  <si>
    <t>APORTES AL SENA (2%)</t>
  </si>
  <si>
    <t>2.1.1.02.02.008</t>
  </si>
  <si>
    <t>APORTES A LA ESCUELA SUP. DE ADMON. PUBLICA</t>
  </si>
  <si>
    <t>2.1.1.02.02.009</t>
  </si>
  <si>
    <t>APORTES A ESC. IND. E INST. TEC. DTAL. DIST. Y M/PALES</t>
  </si>
  <si>
    <t>2.1.1.01.02.003</t>
  </si>
  <si>
    <t xml:space="preserve">Aportes de cesantías </t>
  </si>
  <si>
    <t>2.1.1.01.02.003.01</t>
  </si>
  <si>
    <t>CEANTIAS</t>
  </si>
  <si>
    <t>2.1.1.01.02.003.02</t>
  </si>
  <si>
    <t>INTERESES DE CESANTIAS</t>
  </si>
  <si>
    <t>2.1.2.01</t>
  </si>
  <si>
    <t>ADQUISICIÒN DE BIENES</t>
  </si>
  <si>
    <t>2.1.2.01.01.003</t>
  </si>
  <si>
    <t>COMPRA DE EQUIPOS</t>
  </si>
  <si>
    <t>2.1.2.02.01</t>
  </si>
  <si>
    <t xml:space="preserve">MATERIALES Y SUMINISTROS </t>
  </si>
  <si>
    <t>2.1.2.02.01.003</t>
  </si>
  <si>
    <t>IMPRESOS Y PUBLICACIONES</t>
  </si>
  <si>
    <t>2.1.2.02.03</t>
  </si>
  <si>
    <t>GASTOS IMPREVISTOS</t>
  </si>
  <si>
    <t>2.3.2.02.01.003</t>
  </si>
  <si>
    <t>LEY 769 ART 160 (COMBUSTIBLE-EQUIPOS-DOTACION PROY SEG VIAL)</t>
  </si>
  <si>
    <t>2.1.2.02</t>
  </si>
  <si>
    <t>ADQUISICIÒN DE SERVICIOS</t>
  </si>
  <si>
    <t>2.1.2.01.01.003.07.01</t>
  </si>
  <si>
    <t xml:space="preserve">MANTENIMIENTO </t>
  </si>
  <si>
    <t>2.1.2.02.02.007</t>
  </si>
  <si>
    <t>SEGUROS</t>
  </si>
  <si>
    <t>2.1.2.02.01.001</t>
  </si>
  <si>
    <t>SERVICIOS PUBLICOS</t>
  </si>
  <si>
    <t>2.1.2.02.02.010</t>
  </si>
  <si>
    <t>VIATICOS DE LOS FUNCIONARIOS EN COMISION</t>
  </si>
  <si>
    <t>2.1.2.02.02.006</t>
  </si>
  <si>
    <t xml:space="preserve">ARRENDAMIENTO DE BIENES E INMUEBLES </t>
  </si>
  <si>
    <t>2.3.8</t>
  </si>
  <si>
    <t>IMPUESTOS, TASAS, MULTAS Y REVISIONES</t>
  </si>
  <si>
    <t>GASTOS FINANCIEROS</t>
  </si>
  <si>
    <t>2.1.2.02.02.008</t>
  </si>
  <si>
    <t>SISTEMA DE GESTION EN SEGURIDAD Y SALUD EN EL TRABAJO</t>
  </si>
  <si>
    <t>2.1.2.02.02.009</t>
  </si>
  <si>
    <t>OTROS GASTOS GENERALES (GASTOS IMPREVISTOS)</t>
  </si>
  <si>
    <t>SERVICIOS DE ENERGIA RED SEMAFORIZACION</t>
  </si>
  <si>
    <t>2.1.2.02.02.006.02</t>
  </si>
  <si>
    <t>COMUNICACIONES Y TRANSPORTE</t>
  </si>
  <si>
    <t>2.1.3.07.02</t>
  </si>
  <si>
    <t>PRESTACIONES SOCIALES RELACIONADAS CON EL EMPLEO</t>
  </si>
  <si>
    <t>2.1.3.07.02.001</t>
  </si>
  <si>
    <t>MESADA PENSIONAL</t>
  </si>
  <si>
    <t>2.1.3.07.02.003</t>
  </si>
  <si>
    <t>BONO PENSIONAL</t>
  </si>
  <si>
    <t>2.1.3</t>
  </si>
  <si>
    <t>OTRAS TRANSFERENCIAS CORRIENTES</t>
  </si>
  <si>
    <t>2.1.3.13.01.001</t>
  </si>
  <si>
    <t>CUMP. DE SENTENCIAS TRANSACCIONES CURADURIAS</t>
  </si>
  <si>
    <t>2.1.1.01.03</t>
  </si>
  <si>
    <t>GASTOS DE CAPACITACION BIENESTAR SOCIAL E INCENTIVOS</t>
  </si>
  <si>
    <t>2.1.3.07.02.030</t>
  </si>
  <si>
    <t>PACTOS CONVENCIONALES</t>
  </si>
  <si>
    <t>2.1.7.05.03</t>
  </si>
  <si>
    <t>DEFICIT FISCAL</t>
  </si>
  <si>
    <t>2.1.7.05.04</t>
  </si>
  <si>
    <t>PASIVOS DE VIGENCIAS ESPIRADAS</t>
  </si>
  <si>
    <t xml:space="preserve">TOTAL GASTOS DE FUNCIONAMIENTO </t>
  </si>
  <si>
    <t>DEUDA PUBLICA</t>
  </si>
  <si>
    <t>2.2</t>
  </si>
  <si>
    <t>SERVICIO DE LA DEUDA PUBLICA</t>
  </si>
  <si>
    <t>2.2.2.01</t>
  </si>
  <si>
    <t>AMORTIZACIÒN DE CAPITAL</t>
  </si>
  <si>
    <t>2.2.2.02</t>
  </si>
  <si>
    <t>INTERESES, COMISIONES Y DEMAS EROGACIONES DE LA DEUDA</t>
  </si>
  <si>
    <t>TOTAL DEUDA PUBLICA DE LA I.T.T.B</t>
  </si>
  <si>
    <t>GASTOS DE INVERSION</t>
  </si>
  <si>
    <t>PROGRAMA MOVILIDAD SOSTENIBLE,ACTIVA Y SEGURA</t>
  </si>
  <si>
    <t>2.2.1.1.1.5.01</t>
  </si>
  <si>
    <t>PRODUCTO 54. SISTEMA DE SEGURIDAD VIAL DEL DISTRITO</t>
  </si>
  <si>
    <t>2.2.1.1.1.5.02</t>
  </si>
  <si>
    <t>PRODUCTO 55. SISTEMA ESTRATEGICO PARA EL MEJORAMIENTO DE LA MOVILIDAD</t>
  </si>
  <si>
    <t>2.2.1.1.1.5.03</t>
  </si>
  <si>
    <t>PRODUCTO 56. FORTALECIMIENTO INSTITUCIONAL DEL SECTOR PÚBLICO DE TRANSPORTE</t>
  </si>
  <si>
    <t>TOTAL GASTOS DE INVERSION</t>
  </si>
  <si>
    <t>TOTAL PRESUPUESTO 2022</t>
  </si>
  <si>
    <t xml:space="preserve"> PRESUPUESTO 
AJUSTADO 2022</t>
  </si>
  <si>
    <t>COMPROMETIDO MARZO</t>
  </si>
  <si>
    <t>RECAUDO MARZO 2022</t>
  </si>
  <si>
    <t>COMPROMETIDO ABRIL</t>
  </si>
  <si>
    <t>RECAUDO ABRIL 2022</t>
  </si>
  <si>
    <t>COMPROMETIDO MAYO</t>
  </si>
  <si>
    <t>RECAUDO MAYO 2022</t>
  </si>
  <si>
    <t>RECAUDO JUNIO 2022</t>
  </si>
  <si>
    <t>COMPROMETIDO JUNIO</t>
  </si>
  <si>
    <t>PRESUPUESTO DE INGRESOS VIGTENCIA 2022</t>
  </si>
  <si>
    <t>CONCEPTO</t>
  </si>
  <si>
    <t>PRESUPUESTO 2022</t>
  </si>
  <si>
    <t>TOTAL INGRESOS CORRIENTES</t>
  </si>
  <si>
    <t>TOTAL PRESUPUESTO VIGENCIA 2022</t>
  </si>
  <si>
    <t>RECAUDO A JUNIO 2022</t>
  </si>
  <si>
    <t>% RECAUDO</t>
  </si>
  <si>
    <t>PRESUPUESTO INGRESOS 2022</t>
  </si>
  <si>
    <t>PRESUPUESTO A JUNIO 2022</t>
  </si>
  <si>
    <t>PRESUPUESTO ENERO A JUNIO</t>
  </si>
  <si>
    <t>RECAUDO ENERO A JUNIO</t>
  </si>
  <si>
    <t>Ingresos Tributarios</t>
  </si>
  <si>
    <t>Ingresos No Tributarios</t>
  </si>
  <si>
    <t>Recursos de Capital</t>
  </si>
  <si>
    <t>INVERSION: PROGRAMA MOVILIDAD SOSTENIBLE,ACTIVA Y SEGURA</t>
  </si>
  <si>
    <t>2,2,1</t>
  </si>
  <si>
    <t>PRESUPUESTO DE GASTOS VIGENCIA 2022</t>
  </si>
  <si>
    <t>EJECUCION A JUNIO 2022</t>
  </si>
  <si>
    <t>EJECUCION GASTOS A JUNIO 2022</t>
  </si>
  <si>
    <t>%                   REAUDO</t>
  </si>
  <si>
    <t>PRESUPUESTO DE GASTOS A JUNIO 2022</t>
  </si>
  <si>
    <t xml:space="preserve"> INGRESOS VIGENCIA 2022</t>
  </si>
  <si>
    <t xml:space="preserve"> INGRESOS A JUNIO 2022</t>
  </si>
  <si>
    <t>INVERSION</t>
  </si>
  <si>
    <t>COMPROMETIDO JULIO</t>
  </si>
  <si>
    <t>PLAN DE MANEJO AMBIENTAL Y MODELO INTEGRADO DE GESTION</t>
  </si>
  <si>
    <t>RECAUDO JULIO 2022</t>
  </si>
  <si>
    <t>RECAUDO AGOSTO 2022</t>
  </si>
  <si>
    <t>COMPROMETIDO AGOSTO</t>
  </si>
  <si>
    <t>RECAUDO SEPTIEMBRE 2022</t>
  </si>
  <si>
    <t>COMPROMETIDO SEPTIEMBRE</t>
  </si>
  <si>
    <t>COMPROMETIDO OCTUBRE</t>
  </si>
  <si>
    <t>RECAUDO OCTUBRE 2022</t>
  </si>
  <si>
    <t>% RECAUDADO</t>
  </si>
  <si>
    <t>Recursos de capital</t>
  </si>
  <si>
    <t>PRESPUESTO ENERO A OCTUBRE</t>
  </si>
  <si>
    <t>RECAUDO ENERO      A OCTUBRE</t>
  </si>
  <si>
    <t>RECAUDO NOVIEMBRE 2022</t>
  </si>
  <si>
    <t>COMPROMETIDO NOVIEMBRE</t>
  </si>
  <si>
    <t>RECAUDO DICIEMBRE 2022</t>
  </si>
  <si>
    <t>COMPROMETIDO DICIEMBRE</t>
  </si>
  <si>
    <t>COMPROMETIDO ENERO A DICIEMBRE</t>
  </si>
  <si>
    <t>RECAUDO                                  ENE / DIC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</si>
</sst>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_);[Red]\(&quot;$&quot;\ #,##0\)"/>
    <numFmt numFmtId="7" formatCode="&quot;$&quot;\ #,##0.00_);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\ #,##0.00"/>
    <numFmt numFmtId="165" formatCode="_(&quot;$&quot;\ * #,##0_);_(&quot;$&quot;\ * \(#,##0\);_(&quot;$&quot;\ * &quot;-&quot;??_);_(@_)"/>
    <numFmt numFmtId="166" formatCode="&quot;$&quot;\ #,##0"/>
    <numFmt numFmtId="167" formatCode="_(* #,##0_);_(* \(#,##0\);_(* &quot;-&quot;??_);_(@_)"/>
    <numFmt numFmtId="168" formatCode="0.0"/>
    <numFmt numFmtId="169" formatCode="&quot;$&quot;\ #,##0.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FFFFFF"/>
      <name val="Calibri"/>
      <family val="2"/>
    </font>
    <font>
      <b/>
      <sz val="9"/>
      <color rgb="FFFFFFFF"/>
      <name val="Arial"/>
      <family val="2"/>
    </font>
    <font>
      <b/>
      <sz val="8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 Black"/>
      <family val="2"/>
    </font>
    <font>
      <b/>
      <sz val="9"/>
      <name val="Arial Black"/>
      <family val="2"/>
    </font>
    <font>
      <b/>
      <sz val="9"/>
      <color theme="1"/>
      <name val="Arial Black"/>
      <family val="2"/>
    </font>
    <font>
      <sz val="10"/>
      <color theme="1"/>
      <name val="Arial Narrow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 Black"/>
      <family val="2"/>
    </font>
    <font>
      <sz val="12"/>
      <color theme="1"/>
      <name val="Arial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sz val="8"/>
      <color rgb="FF000000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8"/>
      <name val="Aharoni"/>
      <charset val="177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6"/>
      <name val="Arial Black"/>
      <family val="2"/>
    </font>
    <font>
      <sz val="12"/>
      <color theme="1"/>
      <name val="Estrangelo Edessa"/>
      <family val="4"/>
    </font>
    <font>
      <b/>
      <sz val="12"/>
      <name val="Aharoni"/>
      <charset val="177"/>
    </font>
    <font>
      <b/>
      <sz val="8"/>
      <color theme="1"/>
      <name val="Calibri"/>
      <family val="2"/>
      <scheme val="minor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b/>
      <sz val="12"/>
      <name val="Franklin Gothic Medium"/>
      <family val="2"/>
    </font>
    <font>
      <sz val="11"/>
      <color theme="1"/>
      <name val="Franklin Gothic Medium"/>
      <family val="2"/>
    </font>
    <font>
      <b/>
      <sz val="12"/>
      <color theme="1"/>
      <name val="Estrangelo Edessa"/>
      <family val="4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26262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5D7F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5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64" fontId="6" fillId="0" borderId="3" xfId="0" applyNumberFormat="1" applyFont="1" applyFill="1" applyBorder="1"/>
    <xf numFmtId="0" fontId="5" fillId="0" borderId="3" xfId="0" applyFont="1" applyFill="1" applyBorder="1" applyAlignment="1">
      <alignment horizontal="left"/>
    </xf>
    <xf numFmtId="164" fontId="7" fillId="0" borderId="3" xfId="0" applyNumberFormat="1" applyFont="1" applyFill="1" applyBorder="1"/>
    <xf numFmtId="164" fontId="8" fillId="0" borderId="3" xfId="0" applyNumberFormat="1" applyFont="1" applyFill="1" applyBorder="1"/>
    <xf numFmtId="0" fontId="5" fillId="0" borderId="3" xfId="0" applyFont="1" applyFill="1" applyBorder="1"/>
    <xf numFmtId="0" fontId="9" fillId="0" borderId="3" xfId="0" applyFont="1" applyFill="1" applyBorder="1" applyAlignment="1">
      <alignment horizontal="left"/>
    </xf>
    <xf numFmtId="164" fontId="10" fillId="0" borderId="3" xfId="0" applyNumberFormat="1" applyFont="1" applyFill="1" applyBorder="1"/>
    <xf numFmtId="164" fontId="11" fillId="0" borderId="3" xfId="0" applyNumberFormat="1" applyFont="1" applyFill="1" applyBorder="1"/>
    <xf numFmtId="164" fontId="13" fillId="2" borderId="3" xfId="0" applyNumberFormat="1" applyFont="1" applyFill="1" applyBorder="1"/>
    <xf numFmtId="0" fontId="0" fillId="0" borderId="3" xfId="0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NumberFormat="1" applyFont="1" applyAlignment="1">
      <alignment horizontal="center" vertical="top" wrapText="1"/>
    </xf>
    <xf numFmtId="165" fontId="0" fillId="0" borderId="0" xfId="1" applyNumberFormat="1" applyFont="1"/>
    <xf numFmtId="166" fontId="7" fillId="0" borderId="3" xfId="0" applyNumberFormat="1" applyFont="1" applyFill="1" applyBorder="1"/>
    <xf numFmtId="0" fontId="2" fillId="0" borderId="0" xfId="0" applyNumberFormat="1" applyFont="1" applyFill="1" applyAlignment="1">
      <alignment horizontal="center" vertical="top" wrapText="1"/>
    </xf>
    <xf numFmtId="164" fontId="0" fillId="0" borderId="3" xfId="0" applyNumberFormat="1" applyBorder="1"/>
    <xf numFmtId="0" fontId="16" fillId="4" borderId="3" xfId="0" applyFont="1" applyFill="1" applyBorder="1" applyAlignment="1">
      <alignment horizontal="center" vertical="center" wrapText="1"/>
    </xf>
    <xf numFmtId="0" fontId="18" fillId="0" borderId="3" xfId="0" applyFont="1" applyBorder="1"/>
    <xf numFmtId="0" fontId="19" fillId="0" borderId="5" xfId="0" applyFont="1" applyBorder="1"/>
    <xf numFmtId="0" fontId="20" fillId="0" borderId="3" xfId="0" applyFont="1" applyBorder="1"/>
    <xf numFmtId="0" fontId="21" fillId="0" borderId="5" xfId="0" applyFont="1" applyFill="1" applyBorder="1" applyAlignment="1">
      <alignment horizontal="left"/>
    </xf>
    <xf numFmtId="167" fontId="22" fillId="0" borderId="3" xfId="0" applyNumberFormat="1" applyFont="1" applyBorder="1"/>
    <xf numFmtId="0" fontId="23" fillId="5" borderId="3" xfId="0" applyFont="1" applyFill="1" applyBorder="1"/>
    <xf numFmtId="0" fontId="24" fillId="0" borderId="5" xfId="0" applyFont="1" applyFill="1" applyBorder="1" applyAlignment="1">
      <alignment horizontal="left"/>
    </xf>
    <xf numFmtId="167" fontId="25" fillId="0" borderId="3" xfId="0" applyNumberFormat="1" applyFont="1" applyBorder="1"/>
    <xf numFmtId="0" fontId="15" fillId="0" borderId="3" xfId="0" applyFont="1" applyBorder="1"/>
    <xf numFmtId="0" fontId="15" fillId="0" borderId="3" xfId="0" applyFont="1" applyFill="1" applyBorder="1"/>
    <xf numFmtId="0" fontId="23" fillId="0" borderId="3" xfId="0" applyFont="1" applyFill="1" applyBorder="1"/>
    <xf numFmtId="0" fontId="5" fillId="0" borderId="3" xfId="0" applyFont="1" applyBorder="1"/>
    <xf numFmtId="0" fontId="26" fillId="6" borderId="0" xfId="0" applyFont="1" applyFill="1" applyAlignment="1">
      <alignment horizontal="left" vertical="center"/>
    </xf>
    <xf numFmtId="0" fontId="26" fillId="5" borderId="3" xfId="0" applyFont="1" applyFill="1" applyBorder="1"/>
    <xf numFmtId="167" fontId="18" fillId="0" borderId="3" xfId="0" applyNumberFormat="1" applyFont="1" applyBorder="1"/>
    <xf numFmtId="0" fontId="27" fillId="5" borderId="3" xfId="0" applyFont="1" applyFill="1" applyBorder="1"/>
    <xf numFmtId="0" fontId="28" fillId="0" borderId="5" xfId="0" applyFont="1" applyBorder="1"/>
    <xf numFmtId="0" fontId="24" fillId="5" borderId="5" xfId="0" applyFont="1" applyFill="1" applyBorder="1" applyAlignment="1">
      <alignment horizontal="left"/>
    </xf>
    <xf numFmtId="167" fontId="29" fillId="0" borderId="3" xfId="0" applyNumberFormat="1" applyFont="1" applyBorder="1"/>
    <xf numFmtId="0" fontId="30" fillId="5" borderId="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31" fillId="0" borderId="3" xfId="0" applyFont="1" applyBorder="1"/>
    <xf numFmtId="167" fontId="33" fillId="0" borderId="3" xfId="0" applyNumberFormat="1" applyFont="1" applyBorder="1"/>
    <xf numFmtId="167" fontId="0" fillId="0" borderId="3" xfId="0" applyNumberFormat="1" applyBorder="1"/>
    <xf numFmtId="167" fontId="21" fillId="0" borderId="3" xfId="2" applyNumberFormat="1" applyFont="1" applyFill="1" applyBorder="1" applyAlignment="1">
      <alignment horizontal="left"/>
    </xf>
    <xf numFmtId="167" fontId="0" fillId="0" borderId="0" xfId="0" applyNumberFormat="1"/>
    <xf numFmtId="167" fontId="22" fillId="0" borderId="4" xfId="0" applyNumberFormat="1" applyFont="1" applyBorder="1"/>
    <xf numFmtId="7" fontId="34" fillId="7" borderId="7" xfId="0" applyNumberFormat="1" applyFont="1" applyFill="1" applyBorder="1" applyAlignment="1">
      <alignment horizontal="right" vertical="top" wrapText="1"/>
    </xf>
    <xf numFmtId="167" fontId="0" fillId="0" borderId="4" xfId="0" applyNumberFormat="1" applyBorder="1"/>
    <xf numFmtId="167" fontId="21" fillId="0" borderId="4" xfId="2" applyNumberFormat="1" applyFont="1" applyFill="1" applyBorder="1" applyAlignment="1">
      <alignment horizontal="left"/>
    </xf>
    <xf numFmtId="0" fontId="0" fillId="0" borderId="4" xfId="0" applyBorder="1"/>
    <xf numFmtId="167" fontId="29" fillId="0" borderId="4" xfId="0" applyNumberFormat="1" applyFont="1" applyBorder="1"/>
    <xf numFmtId="7" fontId="34" fillId="8" borderId="3" xfId="0" applyNumberFormat="1" applyFont="1" applyFill="1" applyBorder="1" applyAlignment="1">
      <alignment horizontal="right" vertical="top" wrapText="1"/>
    </xf>
    <xf numFmtId="7" fontId="34" fillId="9" borderId="3" xfId="0" applyNumberFormat="1" applyFont="1" applyFill="1" applyBorder="1" applyAlignment="1">
      <alignment horizontal="right" vertical="top" wrapText="1"/>
    </xf>
    <xf numFmtId="7" fontId="0" fillId="0" borderId="3" xfId="0" applyNumberFormat="1" applyBorder="1"/>
    <xf numFmtId="7" fontId="34" fillId="10" borderId="3" xfId="0" applyNumberFormat="1" applyFont="1" applyFill="1" applyBorder="1" applyAlignment="1">
      <alignment horizontal="right" vertical="top" wrapText="1"/>
    </xf>
    <xf numFmtId="167" fontId="2" fillId="0" borderId="0" xfId="2" applyNumberFormat="1" applyFont="1" applyAlignment="1">
      <alignment horizontal="left" vertical="top" wrapText="1"/>
    </xf>
    <xf numFmtId="44" fontId="2" fillId="0" borderId="0" xfId="1" applyFont="1" applyAlignment="1">
      <alignment horizontal="center" vertical="top" wrapText="1"/>
    </xf>
    <xf numFmtId="165" fontId="7" fillId="11" borderId="3" xfId="0" applyNumberFormat="1" applyFont="1" applyFill="1" applyBorder="1"/>
    <xf numFmtId="165" fontId="2" fillId="0" borderId="0" xfId="0" applyNumberFormat="1" applyFont="1" applyAlignment="1">
      <alignment horizontal="left" vertical="top" wrapText="1"/>
    </xf>
    <xf numFmtId="7" fontId="34" fillId="12" borderId="3" xfId="0" applyNumberFormat="1" applyFont="1" applyFill="1" applyBorder="1" applyAlignment="1">
      <alignment horizontal="right" vertical="top" wrapText="1"/>
    </xf>
    <xf numFmtId="164" fontId="0" fillId="0" borderId="0" xfId="0" applyNumberFormat="1"/>
    <xf numFmtId="7" fontId="34" fillId="13" borderId="3" xfId="0" applyNumberFormat="1" applyFont="1" applyFill="1" applyBorder="1" applyAlignment="1">
      <alignment horizontal="right" vertical="top" wrapText="1"/>
    </xf>
    <xf numFmtId="167" fontId="35" fillId="14" borderId="3" xfId="2" applyNumberFormat="1" applyFont="1" applyFill="1" applyBorder="1"/>
    <xf numFmtId="0" fontId="37" fillId="0" borderId="3" xfId="0" applyFont="1" applyBorder="1"/>
    <xf numFmtId="0" fontId="38" fillId="0" borderId="3" xfId="0" applyFont="1" applyFill="1" applyBorder="1" applyAlignment="1">
      <alignment horizontal="left"/>
    </xf>
    <xf numFmtId="167" fontId="37" fillId="0" borderId="3" xfId="2" applyNumberFormat="1" applyFont="1" applyBorder="1"/>
    <xf numFmtId="0" fontId="37" fillId="0" borderId="3" xfId="0" applyFont="1" applyBorder="1" applyAlignment="1">
      <alignment horizontal="right"/>
    </xf>
    <xf numFmtId="164" fontId="42" fillId="0" borderId="3" xfId="0" applyNumberFormat="1" applyFont="1" applyFill="1" applyBorder="1"/>
    <xf numFmtId="9" fontId="42" fillId="0" borderId="3" xfId="3" applyFont="1" applyFill="1" applyBorder="1" applyAlignment="1">
      <alignment horizontal="center"/>
    </xf>
    <xf numFmtId="0" fontId="44" fillId="0" borderId="3" xfId="0" applyFont="1" applyBorder="1"/>
    <xf numFmtId="164" fontId="44" fillId="0" borderId="3" xfId="0" applyNumberFormat="1" applyFont="1" applyBorder="1"/>
    <xf numFmtId="168" fontId="44" fillId="0" borderId="3" xfId="0" applyNumberFormat="1" applyFont="1" applyBorder="1" applyAlignment="1">
      <alignment horizontal="center"/>
    </xf>
    <xf numFmtId="0" fontId="33" fillId="0" borderId="3" xfId="0" applyFont="1" applyBorder="1"/>
    <xf numFmtId="0" fontId="45" fillId="0" borderId="3" xfId="0" applyFont="1" applyFill="1" applyBorder="1" applyAlignment="1">
      <alignment horizontal="left"/>
    </xf>
    <xf numFmtId="0" fontId="46" fillId="0" borderId="3" xfId="0" applyFont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167" fontId="15" fillId="0" borderId="3" xfId="0" applyNumberFormat="1" applyFont="1" applyBorder="1"/>
    <xf numFmtId="164" fontId="47" fillId="0" borderId="3" xfId="0" applyNumberFormat="1" applyFont="1" applyFill="1" applyBorder="1"/>
    <xf numFmtId="169" fontId="51" fillId="0" borderId="3" xfId="0" applyNumberFormat="1" applyFont="1" applyBorder="1"/>
    <xf numFmtId="167" fontId="28" fillId="0" borderId="3" xfId="0" applyNumberFormat="1" applyFont="1" applyBorder="1"/>
    <xf numFmtId="167" fontId="0" fillId="0" borderId="0" xfId="2" applyNumberFormat="1" applyFont="1"/>
    <xf numFmtId="0" fontId="0" fillId="0" borderId="0" xfId="0" applyAlignment="1">
      <alignment horizontal="center"/>
    </xf>
    <xf numFmtId="7" fontId="52" fillId="17" borderId="3" xfId="0" applyNumberFormat="1" applyFont="1" applyFill="1" applyBorder="1" applyAlignment="1">
      <alignment horizontal="right" vertical="top" wrapText="1"/>
    </xf>
    <xf numFmtId="167" fontId="0" fillId="17" borderId="3" xfId="0" applyNumberFormat="1" applyFill="1" applyBorder="1"/>
    <xf numFmtId="7" fontId="52" fillId="10" borderId="3" xfId="0" applyNumberFormat="1" applyFont="1" applyFill="1" applyBorder="1" applyAlignment="1">
      <alignment horizontal="right" vertical="top" wrapText="1"/>
    </xf>
    <xf numFmtId="7" fontId="52" fillId="14" borderId="3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center" wrapText="1"/>
    </xf>
    <xf numFmtId="0" fontId="53" fillId="0" borderId="11" xfId="0" applyFont="1" applyBorder="1" applyAlignment="1">
      <alignment vertical="center"/>
    </xf>
    <xf numFmtId="6" fontId="53" fillId="0" borderId="12" xfId="0" applyNumberFormat="1" applyFont="1" applyBorder="1" applyAlignment="1">
      <alignment horizontal="right" vertical="center"/>
    </xf>
    <xf numFmtId="9" fontId="53" fillId="0" borderId="12" xfId="0" applyNumberFormat="1" applyFont="1" applyBorder="1" applyAlignment="1">
      <alignment horizontal="center" vertical="center"/>
    </xf>
    <xf numFmtId="9" fontId="0" fillId="0" borderId="0" xfId="3" applyFont="1"/>
    <xf numFmtId="7" fontId="52" fillId="19" borderId="3" xfId="0" applyNumberFormat="1" applyFont="1" applyFill="1" applyBorder="1" applyAlignment="1">
      <alignment horizontal="right" vertical="top" wrapText="1"/>
    </xf>
    <xf numFmtId="44" fontId="2" fillId="0" borderId="0" xfId="0" applyNumberFormat="1" applyFont="1" applyAlignment="1">
      <alignment horizontal="center" vertical="top" wrapText="1"/>
    </xf>
    <xf numFmtId="7" fontId="52" fillId="20" borderId="3" xfId="0" applyNumberFormat="1" applyFont="1" applyFill="1" applyBorder="1" applyAlignment="1">
      <alignment horizontal="right" vertical="top" wrapText="1"/>
    </xf>
    <xf numFmtId="166" fontId="7" fillId="0" borderId="6" xfId="0" applyNumberFormat="1" applyFont="1" applyFill="1" applyBorder="1"/>
    <xf numFmtId="164" fontId="8" fillId="0" borderId="6" xfId="0" applyNumberFormat="1" applyFont="1" applyFill="1" applyBorder="1"/>
    <xf numFmtId="165" fontId="3" fillId="3" borderId="1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1" fillId="18" borderId="9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43" fillId="14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39" fillId="10" borderId="1" xfId="0" applyFont="1" applyFill="1" applyBorder="1" applyAlignment="1">
      <alignment horizontal="center" vertical="center" wrapText="1"/>
    </xf>
    <xf numFmtId="0" fontId="39" fillId="10" borderId="2" xfId="0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/>
    </xf>
    <xf numFmtId="0" fontId="48" fillId="0" borderId="5" xfId="0" applyFont="1" applyFill="1" applyBorder="1" applyAlignment="1">
      <alignment horizontal="center"/>
    </xf>
    <xf numFmtId="0" fontId="41" fillId="15" borderId="3" xfId="0" applyFont="1" applyFill="1" applyBorder="1" applyAlignment="1">
      <alignment horizontal="center"/>
    </xf>
    <xf numFmtId="0" fontId="36" fillId="16" borderId="8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5D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11</xdr:row>
      <xdr:rowOff>95250</xdr:rowOff>
    </xdr:from>
    <xdr:to>
      <xdr:col>13</xdr:col>
      <xdr:colOff>201665</xdr:colOff>
      <xdr:row>30</xdr:row>
      <xdr:rowOff>76053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4900" y="2200275"/>
          <a:ext cx="4945115" cy="39622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tabSelected="1" topLeftCell="J1" zoomScaleNormal="100" workbookViewId="0">
      <selection activeCell="U7" sqref="U7"/>
    </sheetView>
  </sheetViews>
  <sheetFormatPr baseColWidth="10" defaultRowHeight="15" x14ac:dyDescent="0.25"/>
  <cols>
    <col min="2" max="2" width="61.42578125" customWidth="1"/>
    <col min="3" max="3" width="24.140625" customWidth="1"/>
    <col min="4" max="4" width="24.28515625" bestFit="1" customWidth="1"/>
    <col min="5" max="5" width="24.5703125" customWidth="1"/>
    <col min="6" max="6" width="17.42578125" style="16" customWidth="1"/>
    <col min="7" max="7" width="38.28515625" style="16" customWidth="1"/>
    <col min="8" max="8" width="33.7109375" style="16" customWidth="1"/>
    <col min="9" max="9" width="21.7109375" style="16" customWidth="1"/>
    <col min="10" max="10" width="17" style="16" customWidth="1"/>
    <col min="11" max="14" width="16.28515625" style="16" customWidth="1"/>
    <col min="15" max="15" width="15.85546875" style="16" customWidth="1"/>
    <col min="16" max="17" width="16.5703125" style="16" customWidth="1"/>
    <col min="18" max="18" width="21.42578125" customWidth="1"/>
    <col min="19" max="19" width="31.5703125" customWidth="1"/>
    <col min="20" max="20" width="16" customWidth="1"/>
  </cols>
  <sheetData>
    <row r="1" spans="1:21" ht="15" customHeight="1" x14ac:dyDescent="0.25">
      <c r="A1" s="102" t="s">
        <v>0</v>
      </c>
      <c r="B1" s="102" t="s">
        <v>1</v>
      </c>
      <c r="C1" s="102" t="s">
        <v>2</v>
      </c>
      <c r="D1" s="102" t="s">
        <v>158</v>
      </c>
      <c r="E1" s="102" t="s">
        <v>159</v>
      </c>
      <c r="F1" s="98" t="s">
        <v>160</v>
      </c>
      <c r="G1" s="98" t="s">
        <v>161</v>
      </c>
      <c r="H1" s="98" t="s">
        <v>304</v>
      </c>
      <c r="I1" s="98" t="s">
        <v>306</v>
      </c>
      <c r="J1" s="98" t="s">
        <v>308</v>
      </c>
      <c r="K1" s="98" t="s">
        <v>309</v>
      </c>
      <c r="L1" s="98" t="s">
        <v>337</v>
      </c>
      <c r="M1" s="98" t="s">
        <v>338</v>
      </c>
      <c r="N1" s="98" t="s">
        <v>340</v>
      </c>
      <c r="O1" s="98" t="s">
        <v>343</v>
      </c>
      <c r="P1" s="98" t="s">
        <v>348</v>
      </c>
      <c r="Q1" s="98" t="s">
        <v>350</v>
      </c>
      <c r="R1" s="98" t="s">
        <v>353</v>
      </c>
    </row>
    <row r="2" spans="1:21" x14ac:dyDescent="0.25">
      <c r="A2" s="103"/>
      <c r="B2" s="103"/>
      <c r="C2" s="103"/>
      <c r="D2" s="103"/>
      <c r="E2" s="103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57"/>
      <c r="T2" s="13"/>
      <c r="U2" s="13"/>
    </row>
    <row r="3" spans="1:21" x14ac:dyDescent="0.25">
      <c r="A3" s="1" t="s">
        <v>3</v>
      </c>
      <c r="B3" s="2" t="s">
        <v>4</v>
      </c>
      <c r="C3" s="3">
        <f t="shared" ref="C3:H3" si="0">C4</f>
        <v>1600000000</v>
      </c>
      <c r="D3" s="3">
        <f t="shared" si="0"/>
        <v>508576089</v>
      </c>
      <c r="E3" s="3">
        <f t="shared" si="0"/>
        <v>2108576089</v>
      </c>
      <c r="F3" s="3">
        <f t="shared" si="0"/>
        <v>170815198</v>
      </c>
      <c r="G3" s="3">
        <f t="shared" si="0"/>
        <v>265872365</v>
      </c>
      <c r="H3" s="3">
        <f t="shared" si="0"/>
        <v>358045573</v>
      </c>
      <c r="I3" s="3">
        <f t="shared" ref="I3:Q3" si="1">I4</f>
        <v>278518689</v>
      </c>
      <c r="J3" s="3">
        <f t="shared" si="1"/>
        <v>294576224</v>
      </c>
      <c r="K3" s="3">
        <f t="shared" si="1"/>
        <v>165488277</v>
      </c>
      <c r="L3" s="3">
        <f t="shared" si="1"/>
        <v>121390602</v>
      </c>
      <c r="M3" s="3">
        <f t="shared" si="1"/>
        <v>93869161</v>
      </c>
      <c r="N3" s="3">
        <f t="shared" si="1"/>
        <v>70259670</v>
      </c>
      <c r="O3" s="3">
        <f t="shared" si="1"/>
        <v>117854562</v>
      </c>
      <c r="P3" s="3">
        <f t="shared" si="1"/>
        <v>48077977</v>
      </c>
      <c r="Q3" s="3">
        <f t="shared" si="1"/>
        <v>103095870</v>
      </c>
      <c r="R3" s="3">
        <f>R4</f>
        <v>2087864168</v>
      </c>
      <c r="S3" s="57"/>
      <c r="T3" s="18"/>
      <c r="U3" s="15"/>
    </row>
    <row r="4" spans="1:21" x14ac:dyDescent="0.25">
      <c r="A4" s="1" t="s">
        <v>5</v>
      </c>
      <c r="B4" s="4" t="s">
        <v>6</v>
      </c>
      <c r="C4" s="5">
        <v>1600000000</v>
      </c>
      <c r="D4" s="5">
        <v>508576089</v>
      </c>
      <c r="E4" s="19">
        <f>C4+D4</f>
        <v>2108576089</v>
      </c>
      <c r="F4" s="5">
        <v>170815198</v>
      </c>
      <c r="G4" s="17">
        <v>265872365</v>
      </c>
      <c r="H4" s="17">
        <v>358045573</v>
      </c>
      <c r="I4" s="17">
        <v>278518689</v>
      </c>
      <c r="J4" s="17">
        <v>294576224</v>
      </c>
      <c r="K4" s="17">
        <v>165488277</v>
      </c>
      <c r="L4" s="17">
        <v>121390602</v>
      </c>
      <c r="M4" s="17">
        <v>93869161</v>
      </c>
      <c r="N4" s="17">
        <v>70259670</v>
      </c>
      <c r="O4" s="17">
        <v>117854562</v>
      </c>
      <c r="P4" s="17">
        <v>48077977</v>
      </c>
      <c r="Q4" s="17">
        <v>103095870</v>
      </c>
      <c r="R4" s="19">
        <f>F4+G4+H4+I4+J4+K4+L4+M4+N4+O4+P4+Q4</f>
        <v>2087864168</v>
      </c>
      <c r="S4" s="15"/>
      <c r="T4" s="15"/>
      <c r="U4" s="15"/>
    </row>
    <row r="5" spans="1:21" x14ac:dyDescent="0.25">
      <c r="A5" s="1" t="s">
        <v>7</v>
      </c>
      <c r="B5" s="2" t="s">
        <v>8</v>
      </c>
      <c r="C5" s="6">
        <f>C6+C7+C8+C9+C10+C11+C12+C13+C14+C15+C16+C17+C18+C19+C20+C21+C22+C23+C24+C25+C26+C27+C28+C29+C30+C31+C32+C33+C34+C35+C36+C37+C38+C39+C40+C41+C42+C43+C44+C45+C46+C47+C48+C49+C50+C51+C52+C53+C54+C55+C56+C57+C58+C59+C60+C61+C62+C63+C64+C65+C66+C68+C67</f>
        <v>7554490000</v>
      </c>
      <c r="D5" s="6">
        <f>D6+D7+D8+D9+D10+D11+D12+D13+D14+D15+D16+D17+D18+D19+D20+D21+D22+D23+D24+D25+D26+D27+D28+D29+D30+D31+D32+D33+D34+D35+D36+D37+D38+D39+D40+D41+D42+D43+D44+D45+D46+D47+D48+D49+D50+D51+D52+D53+D54+D55+D56+D57+D58+D59+D60+D61+D62+D63+D64+D65+D66+D68+D67</f>
        <v>0</v>
      </c>
      <c r="E5" s="6">
        <f>E6+E7+E8+E9+E10+E11+E12+E13+E14+E15+E16+E17+E18+E19+E20+E21+E22+E23+E24+E25+E26+E27+E28+E29+E30+E31+E32+E33+E34+E35+E36+E37+E38+E39+E40+E41+E42+E43+E44+E45+E46+E47+E48+E49+E50+E51+E52+E53+E54+E55+E56+E57+E58+E59+E60+E61+E62+E63+E64+E65+E66+E68+E67</f>
        <v>7554490000</v>
      </c>
      <c r="F5" s="6">
        <f t="shared" ref="F5:R5" si="2">F6+F7+F8+F9+F10+F11+F12+F13+F14+F15+F16+F17+F18+F19+F20+F21+F22+F23+F24+F25+F26+F27+F28+F29+F30+F31+F32+F33+F34+F35+F36+F37+F38+F39+F40+F41+F42+F43+F44+F45+F46+F47+F48+F49+F50+F51+F52+F53+F54+F55+F56+F57+F58+F59+F60+F61+F62+F63+F64+F65+F66+F68+F67</f>
        <v>491682794</v>
      </c>
      <c r="G5" s="6">
        <f t="shared" si="2"/>
        <v>596557031</v>
      </c>
      <c r="H5" s="6">
        <f t="shared" si="2"/>
        <v>774995302</v>
      </c>
      <c r="I5" s="6">
        <f t="shared" si="2"/>
        <v>413211352</v>
      </c>
      <c r="J5" s="6">
        <f t="shared" si="2"/>
        <v>381931516</v>
      </c>
      <c r="K5" s="6">
        <f t="shared" si="2"/>
        <v>422159904</v>
      </c>
      <c r="L5" s="6">
        <f t="shared" si="2"/>
        <v>432218171</v>
      </c>
      <c r="M5" s="6">
        <f t="shared" si="2"/>
        <v>508720103</v>
      </c>
      <c r="N5" s="6">
        <f t="shared" si="2"/>
        <v>1122950172</v>
      </c>
      <c r="O5" s="6">
        <f t="shared" si="2"/>
        <v>451430471</v>
      </c>
      <c r="P5" s="6">
        <f t="shared" si="2"/>
        <v>466510323</v>
      </c>
      <c r="Q5" s="6">
        <f t="shared" si="2"/>
        <v>743960181</v>
      </c>
      <c r="R5" s="6">
        <f t="shared" si="2"/>
        <v>6806327320</v>
      </c>
      <c r="S5" s="62"/>
      <c r="T5" s="15"/>
      <c r="U5" s="15"/>
    </row>
    <row r="6" spans="1:21" x14ac:dyDescent="0.25">
      <c r="A6" s="1" t="s">
        <v>9</v>
      </c>
      <c r="B6" s="4" t="s">
        <v>10</v>
      </c>
      <c r="C6" s="5">
        <v>2700000000</v>
      </c>
      <c r="D6" s="12"/>
      <c r="E6" s="5">
        <v>2700000000</v>
      </c>
      <c r="F6" s="5">
        <v>49875635</v>
      </c>
      <c r="G6" s="17">
        <v>59661893</v>
      </c>
      <c r="H6" s="17">
        <v>78162305</v>
      </c>
      <c r="I6" s="17">
        <v>69756424</v>
      </c>
      <c r="J6" s="17">
        <v>48264785</v>
      </c>
      <c r="K6" s="17">
        <v>67254689</v>
      </c>
      <c r="L6" s="17">
        <v>97854652</v>
      </c>
      <c r="M6" s="17">
        <v>145897632</v>
      </c>
      <c r="N6" s="17">
        <v>134487563</v>
      </c>
      <c r="O6" s="17">
        <v>114987523</v>
      </c>
      <c r="P6" s="17">
        <v>74587921</v>
      </c>
      <c r="Q6" s="17">
        <v>69875642</v>
      </c>
      <c r="R6" s="19">
        <f t="shared" ref="R6:R68" si="3">F6+G6+H6+I6+J6+K6+L6+M6+N6+O6+P6+Q6</f>
        <v>1010666664</v>
      </c>
      <c r="S6" s="96"/>
      <c r="T6" s="15"/>
      <c r="U6" s="15"/>
    </row>
    <row r="7" spans="1:21" x14ac:dyDescent="0.25">
      <c r="A7" s="7" t="s">
        <v>11</v>
      </c>
      <c r="B7" s="4" t="s">
        <v>12</v>
      </c>
      <c r="C7" s="5">
        <v>650000000</v>
      </c>
      <c r="D7" s="12"/>
      <c r="E7" s="5">
        <v>650000000</v>
      </c>
      <c r="F7" s="5">
        <v>104122430</v>
      </c>
      <c r="G7" s="17">
        <v>126676991</v>
      </c>
      <c r="H7" s="17">
        <v>160443957</v>
      </c>
      <c r="I7" s="17">
        <f>87553100-I75</f>
        <v>59677468</v>
      </c>
      <c r="J7" s="17">
        <f>75176241-J75</f>
        <v>45389783</v>
      </c>
      <c r="K7" s="17">
        <v>54372588</v>
      </c>
      <c r="L7" s="17">
        <v>0</v>
      </c>
      <c r="M7" s="17">
        <v>0</v>
      </c>
      <c r="N7" s="17">
        <v>0</v>
      </c>
      <c r="O7" s="17">
        <v>0</v>
      </c>
      <c r="P7" s="17"/>
      <c r="R7" s="19">
        <f t="shared" si="3"/>
        <v>550683217</v>
      </c>
      <c r="S7" s="96"/>
      <c r="T7" s="94"/>
      <c r="U7" s="15"/>
    </row>
    <row r="8" spans="1:21" x14ac:dyDescent="0.25">
      <c r="A8" s="1" t="s">
        <v>13</v>
      </c>
      <c r="B8" s="4" t="s">
        <v>14</v>
      </c>
      <c r="C8" s="5">
        <v>600000000</v>
      </c>
      <c r="D8" s="12"/>
      <c r="E8" s="5">
        <v>600000000</v>
      </c>
      <c r="F8" s="5">
        <v>153093335</v>
      </c>
      <c r="G8" s="17">
        <v>176274446</v>
      </c>
      <c r="H8" s="17">
        <v>216422622</v>
      </c>
      <c r="I8" s="17">
        <v>90662200</v>
      </c>
      <c r="J8" s="17">
        <v>78674110</v>
      </c>
      <c r="K8" s="17">
        <v>95918217</v>
      </c>
      <c r="L8" s="17">
        <v>136022746</v>
      </c>
      <c r="M8" s="17">
        <f>24174024+26204082+1190034+1073364+77599967+1143366</f>
        <v>131384837</v>
      </c>
      <c r="N8" s="17">
        <f>20323914+29680848+1446708+840024+64528779+980028</f>
        <v>117800301</v>
      </c>
      <c r="O8" s="17">
        <v>107272683</v>
      </c>
      <c r="P8" s="17">
        <v>137673252</v>
      </c>
      <c r="Q8" s="17">
        <v>218747636</v>
      </c>
      <c r="R8" s="19">
        <f t="shared" si="3"/>
        <v>1659946385</v>
      </c>
      <c r="S8" s="96"/>
      <c r="T8" s="15"/>
      <c r="U8" s="15"/>
    </row>
    <row r="9" spans="1:21" x14ac:dyDescent="0.25">
      <c r="A9" s="1" t="s">
        <v>15</v>
      </c>
      <c r="B9" s="4" t="s">
        <v>16</v>
      </c>
      <c r="C9" s="5">
        <v>403000000</v>
      </c>
      <c r="D9" s="12"/>
      <c r="E9" s="5">
        <v>403000000</v>
      </c>
      <c r="F9" s="5">
        <v>13206333</v>
      </c>
      <c r="G9" s="17">
        <v>10542405</v>
      </c>
      <c r="H9" s="17">
        <v>13742098</v>
      </c>
      <c r="I9" s="17">
        <v>11292786</v>
      </c>
      <c r="J9" s="17">
        <v>13109473</v>
      </c>
      <c r="K9" s="17">
        <v>14680904</v>
      </c>
      <c r="L9" s="17">
        <v>12411616</v>
      </c>
      <c r="M9" s="17">
        <v>13002094</v>
      </c>
      <c r="N9" s="17">
        <v>14727216</v>
      </c>
      <c r="O9" s="17">
        <v>12712644</v>
      </c>
      <c r="P9" s="17">
        <v>14565124</v>
      </c>
      <c r="Q9" s="17">
        <v>17274376</v>
      </c>
      <c r="R9" s="19">
        <f t="shared" si="3"/>
        <v>161267069</v>
      </c>
      <c r="S9" s="96"/>
      <c r="T9" s="15"/>
      <c r="U9" s="15"/>
    </row>
    <row r="10" spans="1:21" x14ac:dyDescent="0.25">
      <c r="A10" s="1" t="s">
        <v>17</v>
      </c>
      <c r="B10" s="4" t="s">
        <v>18</v>
      </c>
      <c r="C10" s="5">
        <v>90000</v>
      </c>
      <c r="D10" s="12"/>
      <c r="E10" s="5">
        <v>90000</v>
      </c>
      <c r="F10" s="5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9">
        <f t="shared" si="3"/>
        <v>0</v>
      </c>
      <c r="S10" s="96"/>
      <c r="T10" s="15"/>
      <c r="U10" s="15"/>
    </row>
    <row r="11" spans="1:21" x14ac:dyDescent="0.25">
      <c r="A11" s="1" t="s">
        <v>19</v>
      </c>
      <c r="B11" s="4" t="s">
        <v>20</v>
      </c>
      <c r="C11" s="5">
        <v>26000000</v>
      </c>
      <c r="D11" s="19"/>
      <c r="E11" s="5">
        <v>26000000</v>
      </c>
      <c r="F11" s="5">
        <v>269854</v>
      </c>
      <c r="G11" s="17">
        <v>138965</v>
      </c>
      <c r="H11" s="17">
        <v>286452</v>
      </c>
      <c r="I11" s="17">
        <v>145895</v>
      </c>
      <c r="J11" s="17">
        <v>232658</v>
      </c>
      <c r="K11" s="17">
        <v>82696</v>
      </c>
      <c r="L11" s="17">
        <v>124044</v>
      </c>
      <c r="M11" s="17">
        <v>888982</v>
      </c>
      <c r="N11" s="17">
        <v>454828</v>
      </c>
      <c r="O11" s="17">
        <v>599546</v>
      </c>
      <c r="P11" s="17">
        <v>475502</v>
      </c>
      <c r="Q11" s="17">
        <v>372132</v>
      </c>
      <c r="R11" s="19">
        <f t="shared" si="3"/>
        <v>4071554</v>
      </c>
      <c r="S11" s="96"/>
      <c r="T11" s="15"/>
      <c r="U11" s="15"/>
    </row>
    <row r="12" spans="1:21" x14ac:dyDescent="0.25">
      <c r="A12" s="1" t="s">
        <v>21</v>
      </c>
      <c r="B12" s="4" t="s">
        <v>22</v>
      </c>
      <c r="C12" s="5">
        <v>38000000</v>
      </c>
      <c r="D12" s="12"/>
      <c r="E12" s="5">
        <v>38000000</v>
      </c>
      <c r="F12" s="5">
        <v>396524</v>
      </c>
      <c r="G12" s="17">
        <v>272589</v>
      </c>
      <c r="H12" s="17">
        <v>345208</v>
      </c>
      <c r="I12" s="17">
        <v>402587</v>
      </c>
      <c r="J12" s="17">
        <v>356842</v>
      </c>
      <c r="K12" s="17">
        <v>165392</v>
      </c>
      <c r="L12" s="17">
        <v>806286</v>
      </c>
      <c r="M12" s="17">
        <v>1302462</v>
      </c>
      <c r="N12" s="17">
        <v>744264</v>
      </c>
      <c r="O12" s="17">
        <v>1116396</v>
      </c>
      <c r="P12" s="17">
        <v>888982</v>
      </c>
      <c r="Q12" s="17">
        <v>372132</v>
      </c>
      <c r="R12" s="19">
        <f t="shared" si="3"/>
        <v>7169664</v>
      </c>
      <c r="S12" s="96"/>
      <c r="T12" s="15"/>
      <c r="U12" s="15"/>
    </row>
    <row r="13" spans="1:21" x14ac:dyDescent="0.25">
      <c r="A13" s="1" t="s">
        <v>23</v>
      </c>
      <c r="B13" s="4" t="s">
        <v>24</v>
      </c>
      <c r="C13" s="5">
        <v>95000000</v>
      </c>
      <c r="D13" s="12"/>
      <c r="E13" s="5">
        <v>95000000</v>
      </c>
      <c r="F13" s="5">
        <v>6442398</v>
      </c>
      <c r="G13" s="17">
        <v>8201070</v>
      </c>
      <c r="H13" s="17">
        <v>7208297</v>
      </c>
      <c r="I13" s="17">
        <v>6184956</v>
      </c>
      <c r="J13" s="17">
        <v>6641801</v>
      </c>
      <c r="K13" s="17">
        <v>7030256</v>
      </c>
      <c r="L13" s="17">
        <v>7615995</v>
      </c>
      <c r="M13" s="17">
        <v>13759733</v>
      </c>
      <c r="N13" s="17">
        <v>14227173</v>
      </c>
      <c r="O13" s="17">
        <v>9192190</v>
      </c>
      <c r="P13" s="17">
        <v>7860354</v>
      </c>
      <c r="Q13" s="17">
        <v>7572910</v>
      </c>
      <c r="R13" s="19">
        <f t="shared" si="3"/>
        <v>101937133</v>
      </c>
      <c r="S13" s="96"/>
      <c r="T13" s="15"/>
      <c r="U13" s="15"/>
    </row>
    <row r="14" spans="1:21" x14ac:dyDescent="0.25">
      <c r="A14" s="1" t="s">
        <v>25</v>
      </c>
      <c r="B14" s="4" t="s">
        <v>26</v>
      </c>
      <c r="C14" s="5">
        <v>82500000</v>
      </c>
      <c r="D14" s="12"/>
      <c r="E14" s="5">
        <v>82500000</v>
      </c>
      <c r="F14" s="5">
        <v>18963443</v>
      </c>
      <c r="G14" s="17">
        <v>34967147</v>
      </c>
      <c r="H14" s="17">
        <f>3553428+60476819</f>
        <v>64030247</v>
      </c>
      <c r="I14" s="17">
        <f>22441904+460840</f>
        <v>22902744</v>
      </c>
      <c r="J14" s="17">
        <v>37864952</v>
      </c>
      <c r="K14" s="17">
        <v>8008908</v>
      </c>
      <c r="L14" s="17">
        <f>7948194+986932</f>
        <v>8935126</v>
      </c>
      <c r="M14" s="17">
        <f>17110603+2289855</f>
        <v>19400458</v>
      </c>
      <c r="N14" s="17">
        <f>80942916+1695959+20136</f>
        <v>82659011</v>
      </c>
      <c r="O14" s="17">
        <f>21031037+1620357</f>
        <v>22651394</v>
      </c>
      <c r="P14" s="17">
        <v>63130473</v>
      </c>
      <c r="Q14" s="17">
        <v>169409454</v>
      </c>
      <c r="R14" s="19">
        <f t="shared" si="3"/>
        <v>552923357</v>
      </c>
      <c r="S14" s="96"/>
      <c r="T14" s="15"/>
      <c r="U14" s="15"/>
    </row>
    <row r="15" spans="1:21" x14ac:dyDescent="0.25">
      <c r="A15" s="1" t="s">
        <v>27</v>
      </c>
      <c r="B15" s="4" t="s">
        <v>28</v>
      </c>
      <c r="C15" s="5">
        <v>38000000</v>
      </c>
      <c r="D15" s="12"/>
      <c r="E15" s="5">
        <v>38000000</v>
      </c>
      <c r="F15" s="5">
        <v>5237768</v>
      </c>
      <c r="G15" s="17">
        <v>3514818</v>
      </c>
      <c r="H15" s="17">
        <v>5995866</v>
      </c>
      <c r="I15" s="17">
        <v>4135080</v>
      </c>
      <c r="J15" s="17">
        <v>3376982</v>
      </c>
      <c r="K15" s="17">
        <v>3652654</v>
      </c>
      <c r="L15" s="17">
        <v>4858719</v>
      </c>
      <c r="M15" s="17">
        <v>5926948</v>
      </c>
      <c r="N15" s="17">
        <v>7925570</v>
      </c>
      <c r="O15" s="17">
        <v>4341834</v>
      </c>
      <c r="P15" s="17">
        <v>12922125</v>
      </c>
      <c r="Q15" s="17">
        <v>5099932</v>
      </c>
      <c r="R15" s="19">
        <f t="shared" si="3"/>
        <v>66988296</v>
      </c>
      <c r="S15" s="96"/>
      <c r="T15" s="15"/>
      <c r="U15" s="15"/>
    </row>
    <row r="16" spans="1:21" x14ac:dyDescent="0.25">
      <c r="A16" s="1" t="s">
        <v>29</v>
      </c>
      <c r="B16" s="4" t="s">
        <v>30</v>
      </c>
      <c r="C16" s="5">
        <v>5000000</v>
      </c>
      <c r="D16" s="12"/>
      <c r="E16" s="5">
        <v>5000000</v>
      </c>
      <c r="F16" s="5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9">
        <f t="shared" si="3"/>
        <v>0</v>
      </c>
      <c r="S16" s="96"/>
      <c r="T16" s="15"/>
      <c r="U16" s="15"/>
    </row>
    <row r="17" spans="1:21" x14ac:dyDescent="0.25">
      <c r="A17" s="1" t="s">
        <v>31</v>
      </c>
      <c r="B17" s="4" t="s">
        <v>32</v>
      </c>
      <c r="C17" s="5">
        <v>1000000</v>
      </c>
      <c r="D17" s="12"/>
      <c r="E17" s="5">
        <v>1000000</v>
      </c>
      <c r="F17" s="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9">
        <f t="shared" si="3"/>
        <v>0</v>
      </c>
      <c r="S17" s="96"/>
      <c r="T17" s="15"/>
      <c r="U17" s="15"/>
    </row>
    <row r="18" spans="1:21" x14ac:dyDescent="0.25">
      <c r="A18" s="1" t="s">
        <v>33</v>
      </c>
      <c r="B18" s="4" t="s">
        <v>34</v>
      </c>
      <c r="C18" s="5">
        <v>1000000</v>
      </c>
      <c r="D18" s="12"/>
      <c r="E18" s="5">
        <v>1000000</v>
      </c>
      <c r="F18" s="5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9">
        <f t="shared" si="3"/>
        <v>0</v>
      </c>
      <c r="S18" s="96"/>
      <c r="T18" s="15"/>
      <c r="U18" s="15"/>
    </row>
    <row r="19" spans="1:21" x14ac:dyDescent="0.25">
      <c r="A19" s="1" t="s">
        <v>35</v>
      </c>
      <c r="B19" s="4" t="s">
        <v>36</v>
      </c>
      <c r="C19" s="5">
        <v>100000000</v>
      </c>
      <c r="D19" s="12"/>
      <c r="E19" s="5">
        <v>100000000</v>
      </c>
      <c r="F19" s="5">
        <v>785642</v>
      </c>
      <c r="G19" s="17">
        <v>689704</v>
      </c>
      <c r="H19" s="17">
        <v>1540854</v>
      </c>
      <c r="I19" s="17">
        <f>98407+1689745</f>
        <v>1788152</v>
      </c>
      <c r="J19" s="17">
        <v>1948725</v>
      </c>
      <c r="K19" s="17">
        <v>3422435</v>
      </c>
      <c r="L19" s="17">
        <v>2985764</v>
      </c>
      <c r="M19" s="17">
        <v>3339804</v>
      </c>
      <c r="N19" s="17">
        <v>3832716</v>
      </c>
      <c r="O19" s="17">
        <f>6261336+1730061</f>
        <v>7991397</v>
      </c>
      <c r="P19" s="17">
        <v>5790324</v>
      </c>
      <c r="Q19" s="17">
        <v>7186309</v>
      </c>
      <c r="R19" s="19">
        <f t="shared" si="3"/>
        <v>41301826</v>
      </c>
      <c r="S19" s="96"/>
      <c r="T19" s="15"/>
      <c r="U19" s="15"/>
    </row>
    <row r="20" spans="1:21" x14ac:dyDescent="0.25">
      <c r="A20" s="1" t="s">
        <v>37</v>
      </c>
      <c r="B20" s="4" t="s">
        <v>38</v>
      </c>
      <c r="C20" s="5">
        <v>4000000</v>
      </c>
      <c r="D20" s="12"/>
      <c r="E20" s="5">
        <v>4000000</v>
      </c>
      <c r="F20" s="5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9">
        <f t="shared" si="3"/>
        <v>0</v>
      </c>
      <c r="S20" s="96"/>
      <c r="T20" s="15"/>
      <c r="U20" s="15"/>
    </row>
    <row r="21" spans="1:21" x14ac:dyDescent="0.25">
      <c r="A21" s="1" t="s">
        <v>39</v>
      </c>
      <c r="B21" s="4" t="s">
        <v>40</v>
      </c>
      <c r="C21" s="5">
        <v>300000000</v>
      </c>
      <c r="D21" s="12"/>
      <c r="E21" s="5">
        <v>300000000</v>
      </c>
      <c r="F21" s="5">
        <v>43479216</v>
      </c>
      <c r="G21" s="17">
        <v>62891108</v>
      </c>
      <c r="H21" s="17">
        <v>67766582</v>
      </c>
      <c r="I21" s="17">
        <v>62435938</v>
      </c>
      <c r="J21" s="17">
        <v>67829824</v>
      </c>
      <c r="K21" s="17">
        <v>59936582</v>
      </c>
      <c r="L21" s="17">
        <v>71370184</v>
      </c>
      <c r="M21" s="17">
        <v>80657208</v>
      </c>
      <c r="N21" s="17">
        <v>68520240</v>
      </c>
      <c r="O21" s="17">
        <v>60342772</v>
      </c>
      <c r="P21" s="17">
        <v>62662278</v>
      </c>
      <c r="Q21" s="17">
        <v>84539460</v>
      </c>
      <c r="R21" s="19">
        <f t="shared" si="3"/>
        <v>792431392</v>
      </c>
      <c r="S21" s="96"/>
      <c r="T21" s="15"/>
      <c r="U21" s="15"/>
    </row>
    <row r="22" spans="1:21" x14ac:dyDescent="0.25">
      <c r="A22" s="1" t="s">
        <v>41</v>
      </c>
      <c r="B22" s="4" t="s">
        <v>42</v>
      </c>
      <c r="C22" s="5">
        <v>18000000</v>
      </c>
      <c r="D22" s="12"/>
      <c r="E22" s="5">
        <v>18000000</v>
      </c>
      <c r="F22" s="5">
        <v>1065897</v>
      </c>
      <c r="G22" s="17">
        <v>982652</v>
      </c>
      <c r="H22" s="17">
        <v>1268975</v>
      </c>
      <c r="I22" s="17">
        <v>789546</v>
      </c>
      <c r="J22" s="17">
        <v>802454</v>
      </c>
      <c r="K22" s="17">
        <v>345874</v>
      </c>
      <c r="L22" s="17"/>
      <c r="M22" s="17"/>
      <c r="N22" s="17"/>
      <c r="O22" s="17"/>
      <c r="P22" s="17"/>
      <c r="Q22" s="17">
        <v>578592</v>
      </c>
      <c r="R22" s="19">
        <f t="shared" si="3"/>
        <v>5833990</v>
      </c>
      <c r="S22" s="96"/>
      <c r="T22" s="15"/>
      <c r="U22" s="15"/>
    </row>
    <row r="23" spans="1:21" x14ac:dyDescent="0.25">
      <c r="A23" s="1" t="s">
        <v>43</v>
      </c>
      <c r="B23" s="4" t="s">
        <v>44</v>
      </c>
      <c r="C23" s="5">
        <v>1000000</v>
      </c>
      <c r="D23" s="12"/>
      <c r="E23" s="5">
        <v>1000000</v>
      </c>
      <c r="F23" s="5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9">
        <f t="shared" si="3"/>
        <v>0</v>
      </c>
      <c r="S23" s="96"/>
      <c r="T23" s="15"/>
      <c r="U23" s="15"/>
    </row>
    <row r="24" spans="1:21" x14ac:dyDescent="0.25">
      <c r="A24" s="1" t="s">
        <v>45</v>
      </c>
      <c r="B24" s="4" t="s">
        <v>46</v>
      </c>
      <c r="C24" s="5">
        <v>15000000</v>
      </c>
      <c r="D24" s="12"/>
      <c r="E24" s="5">
        <v>15000000</v>
      </c>
      <c r="F24" s="5">
        <v>1368702</v>
      </c>
      <c r="G24" s="17">
        <v>1368702</v>
      </c>
      <c r="H24" s="17">
        <v>3525620</v>
      </c>
      <c r="I24" s="17">
        <v>1064546</v>
      </c>
      <c r="J24" s="17">
        <v>2889482</v>
      </c>
      <c r="K24" s="17">
        <v>2281170</v>
      </c>
      <c r="L24" s="17">
        <v>2585326</v>
      </c>
      <c r="M24" s="17">
        <v>3954028</v>
      </c>
      <c r="N24" s="17">
        <v>3497794</v>
      </c>
      <c r="O24" s="17">
        <v>3345716</v>
      </c>
      <c r="P24" s="17">
        <v>4866496</v>
      </c>
      <c r="Q24" s="17">
        <v>9732992</v>
      </c>
      <c r="R24" s="19">
        <f t="shared" si="3"/>
        <v>40480574</v>
      </c>
      <c r="S24" s="96"/>
      <c r="T24" s="15"/>
      <c r="U24" s="15"/>
    </row>
    <row r="25" spans="1:21" x14ac:dyDescent="0.25">
      <c r="A25" s="1" t="s">
        <v>47</v>
      </c>
      <c r="B25" s="2" t="s">
        <v>48</v>
      </c>
      <c r="C25" s="5">
        <v>30000000</v>
      </c>
      <c r="D25" s="12"/>
      <c r="E25" s="5">
        <v>30000000</v>
      </c>
      <c r="F25" s="5">
        <v>3987564</v>
      </c>
      <c r="G25" s="17">
        <v>2985632</v>
      </c>
      <c r="H25" s="17">
        <f>1854377+4449974</f>
        <v>6304351</v>
      </c>
      <c r="I25" s="17">
        <f>2166037+3859056</f>
        <v>6025093</v>
      </c>
      <c r="J25" s="17">
        <f>3974452+2727025</f>
        <v>6701477</v>
      </c>
      <c r="K25" s="17">
        <f>2337450+3848763</f>
        <v>6186213</v>
      </c>
      <c r="L25" s="17">
        <v>4160661</v>
      </c>
      <c r="M25" s="17">
        <f>4477791+5267054</f>
        <v>9744845</v>
      </c>
      <c r="N25" s="17">
        <v>3775175</v>
      </c>
      <c r="O25" s="17">
        <v>10108529</v>
      </c>
      <c r="P25" s="17">
        <v>7223352</v>
      </c>
      <c r="Q25" s="17">
        <v>5703915</v>
      </c>
      <c r="R25" s="19">
        <f t="shared" si="3"/>
        <v>72906807</v>
      </c>
      <c r="S25" s="96"/>
      <c r="T25" s="15"/>
      <c r="U25" s="15"/>
    </row>
    <row r="26" spans="1:21" x14ac:dyDescent="0.25">
      <c r="A26" s="1" t="s">
        <v>49</v>
      </c>
      <c r="B26" s="2" t="s">
        <v>50</v>
      </c>
      <c r="C26" s="5">
        <v>1000000</v>
      </c>
      <c r="D26" s="12"/>
      <c r="E26" s="5">
        <v>1000000</v>
      </c>
      <c r="F26" s="5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9">
        <f t="shared" si="3"/>
        <v>0</v>
      </c>
      <c r="S26" s="96"/>
      <c r="T26" s="15"/>
      <c r="U26" s="15"/>
    </row>
    <row r="27" spans="1:21" x14ac:dyDescent="0.25">
      <c r="A27" s="1" t="s">
        <v>51</v>
      </c>
      <c r="B27" s="4" t="s">
        <v>52</v>
      </c>
      <c r="C27" s="5">
        <v>30000000</v>
      </c>
      <c r="D27" s="12"/>
      <c r="E27" s="5">
        <v>30000000</v>
      </c>
      <c r="F27" s="5">
        <v>345897</v>
      </c>
      <c r="G27" s="17">
        <v>389654</v>
      </c>
      <c r="H27" s="17">
        <v>498552</v>
      </c>
      <c r="I27" s="17">
        <v>398756</v>
      </c>
      <c r="J27" s="17">
        <v>415287</v>
      </c>
      <c r="K27" s="17">
        <v>232512</v>
      </c>
      <c r="L27" s="17">
        <v>620032</v>
      </c>
      <c r="M27" s="17">
        <v>697536</v>
      </c>
      <c r="N27" s="17">
        <v>775040</v>
      </c>
      <c r="O27" s="17">
        <v>465024</v>
      </c>
      <c r="P27" s="17">
        <v>310016</v>
      </c>
      <c r="Q27" s="17">
        <v>542528</v>
      </c>
      <c r="R27" s="19">
        <f t="shared" si="3"/>
        <v>5690834</v>
      </c>
      <c r="S27" s="96"/>
      <c r="T27" s="15"/>
      <c r="U27" s="15"/>
    </row>
    <row r="28" spans="1:21" x14ac:dyDescent="0.25">
      <c r="A28" s="1" t="s">
        <v>53</v>
      </c>
      <c r="B28" s="4" t="s">
        <v>54</v>
      </c>
      <c r="C28" s="5">
        <v>6000000</v>
      </c>
      <c r="D28" s="12"/>
      <c r="E28" s="5">
        <v>6000000</v>
      </c>
      <c r="F28" s="5">
        <v>204789</v>
      </c>
      <c r="G28" s="17">
        <v>135896</v>
      </c>
      <c r="H28" s="17">
        <f>221711+938834</f>
        <v>1160545</v>
      </c>
      <c r="I28" s="17">
        <v>222407</v>
      </c>
      <c r="J28" s="17">
        <v>254776</v>
      </c>
      <c r="K28" s="17">
        <v>297084</v>
      </c>
      <c r="L28" s="17">
        <v>244373</v>
      </c>
      <c r="M28" s="17">
        <v>180099</v>
      </c>
      <c r="N28" s="17">
        <v>179867</v>
      </c>
      <c r="O28" s="17">
        <v>794897</v>
      </c>
      <c r="P28" s="17">
        <v>190966</v>
      </c>
      <c r="Q28" s="17">
        <v>233274</v>
      </c>
      <c r="R28" s="19">
        <f t="shared" si="3"/>
        <v>4098973</v>
      </c>
      <c r="S28" s="96"/>
      <c r="T28" s="15"/>
      <c r="U28" s="15"/>
    </row>
    <row r="29" spans="1:21" x14ac:dyDescent="0.25">
      <c r="A29" s="1" t="s">
        <v>55</v>
      </c>
      <c r="B29" s="4" t="s">
        <v>56</v>
      </c>
      <c r="C29" s="5">
        <v>7000000</v>
      </c>
      <c r="D29" s="12"/>
      <c r="E29" s="5">
        <v>7000000</v>
      </c>
      <c r="F29" s="5">
        <v>1587632</v>
      </c>
      <c r="G29" s="17">
        <v>1689531</v>
      </c>
      <c r="H29" s="17">
        <v>8424274</v>
      </c>
      <c r="I29" s="17">
        <v>7053294</v>
      </c>
      <c r="J29" s="17">
        <v>6811470</v>
      </c>
      <c r="K29" s="17">
        <v>8538198</v>
      </c>
      <c r="L29" s="17">
        <v>8538198</v>
      </c>
      <c r="M29" s="17">
        <v>8414456</v>
      </c>
      <c r="N29" s="17">
        <v>7362649</v>
      </c>
      <c r="O29" s="17">
        <v>7238907</v>
      </c>
      <c r="P29" s="17">
        <v>7610133</v>
      </c>
      <c r="Q29" s="17">
        <v>9961231</v>
      </c>
      <c r="R29" s="19">
        <f t="shared" si="3"/>
        <v>83229973</v>
      </c>
      <c r="S29" s="96"/>
      <c r="T29" s="15"/>
      <c r="U29" s="15"/>
    </row>
    <row r="30" spans="1:21" x14ac:dyDescent="0.25">
      <c r="A30" s="1" t="s">
        <v>57</v>
      </c>
      <c r="B30" s="4" t="s">
        <v>58</v>
      </c>
      <c r="C30" s="5">
        <v>6000000</v>
      </c>
      <c r="D30" s="12"/>
      <c r="E30" s="5">
        <v>6000000</v>
      </c>
      <c r="F30" s="5">
        <v>1258964</v>
      </c>
      <c r="G30" s="17">
        <v>986452</v>
      </c>
      <c r="H30" s="17">
        <v>1185646</v>
      </c>
      <c r="I30" s="17">
        <v>1259068</v>
      </c>
      <c r="J30" s="17">
        <v>1501722</v>
      </c>
      <c r="K30" s="17">
        <v>1334864</v>
      </c>
      <c r="L30" s="17">
        <v>2009929</v>
      </c>
      <c r="M30" s="17">
        <v>2836586</v>
      </c>
      <c r="N30" s="17">
        <v>1084577</v>
      </c>
      <c r="O30" s="17">
        <v>1251435</v>
      </c>
      <c r="P30" s="17">
        <v>1501722</v>
      </c>
      <c r="Q30" s="17">
        <v>1918867</v>
      </c>
      <c r="R30" s="19">
        <f t="shared" si="3"/>
        <v>18129832</v>
      </c>
      <c r="S30" s="96"/>
      <c r="T30" s="15"/>
      <c r="U30" s="15"/>
    </row>
    <row r="31" spans="1:21" x14ac:dyDescent="0.25">
      <c r="A31" s="1" t="s">
        <v>59</v>
      </c>
      <c r="B31" s="4" t="s">
        <v>60</v>
      </c>
      <c r="C31" s="5">
        <v>250000</v>
      </c>
      <c r="D31" s="12"/>
      <c r="E31" s="5">
        <v>250000</v>
      </c>
      <c r="F31" s="5">
        <v>43334</v>
      </c>
      <c r="G31" s="17">
        <v>86668</v>
      </c>
      <c r="H31" s="17">
        <v>82544</v>
      </c>
      <c r="I31" s="17">
        <v>21667</v>
      </c>
      <c r="J31" s="17">
        <v>43334</v>
      </c>
      <c r="K31" s="17">
        <v>43334</v>
      </c>
      <c r="L31" s="17">
        <v>65001</v>
      </c>
      <c r="M31" s="17">
        <v>108335</v>
      </c>
      <c r="N31" s="17">
        <v>65001</v>
      </c>
      <c r="O31" s="17">
        <v>130002</v>
      </c>
      <c r="P31" s="17">
        <v>1982</v>
      </c>
      <c r="Q31" s="17">
        <v>43334</v>
      </c>
      <c r="R31" s="19">
        <f t="shared" si="3"/>
        <v>734536</v>
      </c>
      <c r="S31" s="96"/>
      <c r="T31" s="15"/>
      <c r="U31" s="15"/>
    </row>
    <row r="32" spans="1:21" x14ac:dyDescent="0.25">
      <c r="A32" s="1" t="s">
        <v>61</v>
      </c>
      <c r="B32" s="4" t="s">
        <v>62</v>
      </c>
      <c r="C32" s="5">
        <v>5000000</v>
      </c>
      <c r="D32" s="12"/>
      <c r="E32" s="5">
        <v>5000000</v>
      </c>
      <c r="F32" s="5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9">
        <f t="shared" si="3"/>
        <v>0</v>
      </c>
      <c r="S32" s="96"/>
      <c r="T32" s="15"/>
      <c r="U32" s="15"/>
    </row>
    <row r="33" spans="1:21" x14ac:dyDescent="0.25">
      <c r="A33" s="1" t="s">
        <v>63</v>
      </c>
      <c r="B33" s="4" t="s">
        <v>64</v>
      </c>
      <c r="C33" s="5">
        <v>110000</v>
      </c>
      <c r="D33" s="12"/>
      <c r="E33" s="5">
        <v>110000</v>
      </c>
      <c r="F33" s="5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9">
        <f t="shared" si="3"/>
        <v>0</v>
      </c>
      <c r="S33" s="96"/>
      <c r="T33" s="15"/>
      <c r="U33" s="15"/>
    </row>
    <row r="34" spans="1:21" x14ac:dyDescent="0.25">
      <c r="A34" s="1" t="s">
        <v>65</v>
      </c>
      <c r="B34" s="4" t="s">
        <v>66</v>
      </c>
      <c r="C34" s="5">
        <v>1000000</v>
      </c>
      <c r="D34" s="12"/>
      <c r="E34" s="5">
        <v>1000000</v>
      </c>
      <c r="F34" s="5">
        <v>102996</v>
      </c>
      <c r="G34" s="17">
        <v>237367</v>
      </c>
      <c r="H34" s="17">
        <v>33316</v>
      </c>
      <c r="I34" s="58">
        <v>99948</v>
      </c>
      <c r="J34" s="17">
        <v>104103</v>
      </c>
      <c r="K34" s="17">
        <v>66632</v>
      </c>
      <c r="L34" s="17">
        <v>66632</v>
      </c>
      <c r="M34" s="17">
        <v>99948</v>
      </c>
      <c r="N34" s="17">
        <v>188247</v>
      </c>
      <c r="O34" s="17">
        <v>133264</v>
      </c>
      <c r="P34" s="17">
        <v>99948</v>
      </c>
      <c r="Q34" s="17">
        <v>66632</v>
      </c>
      <c r="R34" s="19">
        <f t="shared" si="3"/>
        <v>1299033</v>
      </c>
      <c r="S34" s="96"/>
      <c r="T34" s="15"/>
      <c r="U34" s="15"/>
    </row>
    <row r="35" spans="1:21" x14ac:dyDescent="0.25">
      <c r="A35" s="1" t="s">
        <v>67</v>
      </c>
      <c r="B35" s="4" t="s">
        <v>68</v>
      </c>
      <c r="C35" s="5">
        <v>3850000</v>
      </c>
      <c r="D35" s="12"/>
      <c r="E35" s="5">
        <v>3850000</v>
      </c>
      <c r="F35" s="5">
        <v>518890</v>
      </c>
      <c r="G35" s="17">
        <v>830224</v>
      </c>
      <c r="H35" s="17">
        <v>311334</v>
      </c>
      <c r="I35" s="58">
        <v>622668</v>
      </c>
      <c r="J35" s="17">
        <v>622668</v>
      </c>
      <c r="K35" s="17">
        <v>311334</v>
      </c>
      <c r="L35" s="17">
        <v>207556</v>
      </c>
      <c r="M35" s="17">
        <v>415112</v>
      </c>
      <c r="N35" s="17">
        <v>518890</v>
      </c>
      <c r="O35" s="17">
        <v>207556</v>
      </c>
      <c r="P35" s="17">
        <v>622668</v>
      </c>
      <c r="Q35" s="17">
        <v>311334</v>
      </c>
      <c r="R35" s="19">
        <f t="shared" si="3"/>
        <v>5500234</v>
      </c>
      <c r="S35" s="96"/>
      <c r="T35" s="15"/>
      <c r="U35" s="15"/>
    </row>
    <row r="36" spans="1:21" x14ac:dyDescent="0.25">
      <c r="A36" s="1" t="s">
        <v>69</v>
      </c>
      <c r="B36" s="4" t="s">
        <v>70</v>
      </c>
      <c r="C36" s="5">
        <v>2500000</v>
      </c>
      <c r="D36" s="12"/>
      <c r="E36" s="5">
        <v>2500000</v>
      </c>
      <c r="F36" s="5">
        <v>92567</v>
      </c>
      <c r="G36" s="17">
        <v>471304</v>
      </c>
      <c r="H36" s="17">
        <v>378737</v>
      </c>
      <c r="I36" s="17">
        <v>647969</v>
      </c>
      <c r="J36" s="17">
        <v>555402</v>
      </c>
      <c r="K36" s="17">
        <v>647969</v>
      </c>
      <c r="L36" s="17">
        <v>555402</v>
      </c>
      <c r="M36" s="17">
        <v>370268</v>
      </c>
      <c r="N36" s="17">
        <v>462835</v>
      </c>
      <c r="O36" s="17">
        <v>370268</v>
      </c>
      <c r="P36" s="17">
        <v>277701</v>
      </c>
      <c r="Q36" s="17">
        <v>370268</v>
      </c>
      <c r="R36" s="19">
        <f t="shared" si="3"/>
        <v>5200690</v>
      </c>
      <c r="S36" s="96"/>
      <c r="T36" s="15"/>
      <c r="U36" s="15"/>
    </row>
    <row r="37" spans="1:21" x14ac:dyDescent="0.25">
      <c r="A37" s="1" t="s">
        <v>71</v>
      </c>
      <c r="B37" s="4" t="s">
        <v>72</v>
      </c>
      <c r="C37" s="5">
        <v>500000</v>
      </c>
      <c r="D37" s="12"/>
      <c r="E37" s="5">
        <v>500000</v>
      </c>
      <c r="F37" s="5"/>
      <c r="G37" s="17">
        <v>116264</v>
      </c>
      <c r="H37" s="17"/>
      <c r="I37" s="17">
        <v>166767</v>
      </c>
      <c r="J37" s="17"/>
      <c r="K37" s="17">
        <v>55589</v>
      </c>
      <c r="L37" s="17"/>
      <c r="M37" s="17">
        <v>111178</v>
      </c>
      <c r="N37" s="17">
        <v>55589</v>
      </c>
      <c r="O37" s="17"/>
      <c r="P37" s="17">
        <v>111178</v>
      </c>
      <c r="Q37" s="17">
        <v>55589</v>
      </c>
      <c r="R37" s="19">
        <f t="shared" si="3"/>
        <v>672154</v>
      </c>
      <c r="S37" s="96"/>
      <c r="T37" s="15"/>
      <c r="U37" s="15"/>
    </row>
    <row r="38" spans="1:21" x14ac:dyDescent="0.25">
      <c r="A38" s="1" t="s">
        <v>73</v>
      </c>
      <c r="B38" s="4" t="s">
        <v>74</v>
      </c>
      <c r="C38" s="5">
        <v>3500000</v>
      </c>
      <c r="D38" s="12"/>
      <c r="E38" s="5">
        <v>3500000</v>
      </c>
      <c r="F38" s="5">
        <v>733530</v>
      </c>
      <c r="G38" s="17">
        <v>733530</v>
      </c>
      <c r="H38" s="17">
        <v>628740</v>
      </c>
      <c r="I38" s="58">
        <v>209580</v>
      </c>
      <c r="J38" s="17">
        <v>419160</v>
      </c>
      <c r="K38" s="17">
        <v>2724540</v>
      </c>
      <c r="L38" s="17">
        <v>838320</v>
      </c>
      <c r="M38" s="17">
        <v>314370</v>
      </c>
      <c r="N38" s="17">
        <v>314370</v>
      </c>
      <c r="O38" s="17">
        <v>314370</v>
      </c>
      <c r="P38" s="17">
        <v>209580</v>
      </c>
      <c r="Q38" s="17">
        <v>314370</v>
      </c>
      <c r="R38" s="19">
        <f t="shared" si="3"/>
        <v>7754460</v>
      </c>
      <c r="T38" s="15"/>
      <c r="U38" s="15"/>
    </row>
    <row r="39" spans="1:21" x14ac:dyDescent="0.25">
      <c r="A39" s="1" t="s">
        <v>75</v>
      </c>
      <c r="B39" s="4" t="s">
        <v>76</v>
      </c>
      <c r="C39" s="5">
        <v>1200000</v>
      </c>
      <c r="D39" s="12"/>
      <c r="E39" s="5">
        <v>1200000</v>
      </c>
      <c r="F39" s="5">
        <v>41059</v>
      </c>
      <c r="G39" s="17">
        <v>41059</v>
      </c>
      <c r="H39" s="17">
        <v>41059</v>
      </c>
      <c r="I39" s="58">
        <v>41059</v>
      </c>
      <c r="J39" s="17">
        <v>0</v>
      </c>
      <c r="K39" s="17">
        <v>82118</v>
      </c>
      <c r="L39" s="17"/>
      <c r="M39" s="17">
        <v>41059</v>
      </c>
      <c r="N39" s="17"/>
      <c r="O39" s="17"/>
      <c r="P39" s="17">
        <v>41059</v>
      </c>
      <c r="Q39" s="17">
        <v>41059</v>
      </c>
      <c r="R39" s="19">
        <f t="shared" si="3"/>
        <v>369531</v>
      </c>
      <c r="T39" s="15"/>
      <c r="U39" s="15"/>
    </row>
    <row r="40" spans="1:21" x14ac:dyDescent="0.25">
      <c r="A40" s="1" t="s">
        <v>77</v>
      </c>
      <c r="B40" s="4" t="s">
        <v>78</v>
      </c>
      <c r="C40" s="5">
        <v>1000000</v>
      </c>
      <c r="D40" s="12"/>
      <c r="E40" s="5">
        <v>1000000</v>
      </c>
      <c r="F40" s="5">
        <v>2568764</v>
      </c>
      <c r="G40" s="17">
        <v>3056874</v>
      </c>
      <c r="H40" s="17">
        <v>2986542</v>
      </c>
      <c r="I40" s="17">
        <v>2468752</v>
      </c>
      <c r="J40" s="17">
        <v>2746324</v>
      </c>
      <c r="K40" s="17">
        <v>1364094</v>
      </c>
      <c r="L40" s="17">
        <v>1155508</v>
      </c>
      <c r="M40" s="17">
        <v>1114474</v>
      </c>
      <c r="N40" s="17">
        <v>570196</v>
      </c>
      <c r="O40" s="17">
        <v>751622</v>
      </c>
      <c r="P40" s="17">
        <v>1552494</v>
      </c>
      <c r="Q40" s="17">
        <v>2069384</v>
      </c>
      <c r="R40" s="19">
        <f t="shared" si="3"/>
        <v>22405028</v>
      </c>
      <c r="S40" s="15"/>
      <c r="T40" s="15"/>
      <c r="U40" s="15"/>
    </row>
    <row r="41" spans="1:21" x14ac:dyDescent="0.25">
      <c r="A41" s="1" t="s">
        <v>79</v>
      </c>
      <c r="B41" s="4" t="s">
        <v>80</v>
      </c>
      <c r="C41" s="5">
        <v>77000000</v>
      </c>
      <c r="D41" s="12"/>
      <c r="E41" s="5">
        <v>77000000</v>
      </c>
      <c r="F41" s="5">
        <v>1358647</v>
      </c>
      <c r="G41" s="17">
        <v>1685233</v>
      </c>
      <c r="H41" s="17">
        <v>2722018</v>
      </c>
      <c r="I41" s="17">
        <v>505116</v>
      </c>
      <c r="J41" s="17">
        <v>1767420</v>
      </c>
      <c r="K41" s="17">
        <v>3541921</v>
      </c>
      <c r="L41" s="17">
        <v>2897542</v>
      </c>
      <c r="M41" s="17">
        <f>2994194*60%</f>
        <v>1796516.4</v>
      </c>
      <c r="N41" s="17">
        <f>2226598*60%</f>
        <v>1335958.8</v>
      </c>
      <c r="O41" s="17">
        <v>1648792</v>
      </c>
      <c r="P41" s="17">
        <v>1863894</v>
      </c>
      <c r="Q41" s="17">
        <f>145915+S42</f>
        <v>145915</v>
      </c>
      <c r="R41" s="19">
        <f t="shared" si="3"/>
        <v>21268973.199999999</v>
      </c>
      <c r="T41" s="15"/>
      <c r="U41" s="15"/>
    </row>
    <row r="42" spans="1:21" x14ac:dyDescent="0.25">
      <c r="A42" s="1" t="s">
        <v>81</v>
      </c>
      <c r="B42" s="4" t="s">
        <v>82</v>
      </c>
      <c r="C42" s="5">
        <v>40000000</v>
      </c>
      <c r="D42" s="12"/>
      <c r="E42" s="5">
        <v>40000000</v>
      </c>
      <c r="F42" s="5">
        <v>2045872</v>
      </c>
      <c r="G42" s="17">
        <v>2689746</v>
      </c>
      <c r="H42" s="17">
        <v>3985642</v>
      </c>
      <c r="I42" s="17">
        <v>656874</v>
      </c>
      <c r="J42" s="17">
        <v>897546</v>
      </c>
      <c r="K42" s="17">
        <v>7485632</v>
      </c>
      <c r="L42" s="17">
        <v>4397032</v>
      </c>
      <c r="M42" s="17">
        <f>2994194*40%</f>
        <v>1197677.6000000001</v>
      </c>
      <c r="N42" s="17">
        <f>2226598*40%</f>
        <v>890639.20000000007</v>
      </c>
      <c r="O42" s="17">
        <v>800436</v>
      </c>
      <c r="P42" s="17">
        <v>487952</v>
      </c>
      <c r="Q42" s="17">
        <v>699830</v>
      </c>
      <c r="R42" s="19">
        <f t="shared" si="3"/>
        <v>26234878.800000001</v>
      </c>
      <c r="T42" s="15"/>
      <c r="U42" s="15"/>
    </row>
    <row r="43" spans="1:21" x14ac:dyDescent="0.25">
      <c r="A43" s="1" t="s">
        <v>83</v>
      </c>
      <c r="B43" s="4" t="s">
        <v>84</v>
      </c>
      <c r="C43" s="5">
        <v>15000000</v>
      </c>
      <c r="D43" s="12"/>
      <c r="E43" s="5">
        <v>15000000</v>
      </c>
      <c r="F43" s="5">
        <v>198625</v>
      </c>
      <c r="G43" s="17">
        <v>310546</v>
      </c>
      <c r="H43" s="17">
        <v>365897</v>
      </c>
      <c r="I43" s="17">
        <v>332584</v>
      </c>
      <c r="J43" s="17">
        <v>278944</v>
      </c>
      <c r="K43" s="17">
        <v>134840</v>
      </c>
      <c r="L43" s="17">
        <v>202260</v>
      </c>
      <c r="M43" s="17">
        <v>1449530</v>
      </c>
      <c r="N43" s="17">
        <v>741620</v>
      </c>
      <c r="O43" s="17">
        <v>977590</v>
      </c>
      <c r="P43" s="17">
        <v>775330</v>
      </c>
      <c r="Q43" s="17">
        <v>606780</v>
      </c>
      <c r="R43" s="19">
        <f t="shared" si="3"/>
        <v>6374546</v>
      </c>
      <c r="T43" s="15"/>
      <c r="U43" s="15"/>
    </row>
    <row r="44" spans="1:21" x14ac:dyDescent="0.25">
      <c r="A44" s="1" t="s">
        <v>85</v>
      </c>
      <c r="B44" s="4" t="s">
        <v>86</v>
      </c>
      <c r="C44" s="5">
        <v>15000000</v>
      </c>
      <c r="D44" s="12"/>
      <c r="E44" s="5">
        <v>15000000</v>
      </c>
      <c r="F44" s="5">
        <v>2056626</v>
      </c>
      <c r="G44" s="17">
        <v>2074590</v>
      </c>
      <c r="H44" s="17">
        <v>1490934</v>
      </c>
      <c r="I44" s="17">
        <v>1644342</v>
      </c>
      <c r="J44" s="17">
        <v>3959844</v>
      </c>
      <c r="K44" s="17">
        <v>4971378</v>
      </c>
      <c r="L44" s="17">
        <v>2814078</v>
      </c>
      <c r="M44" s="17">
        <v>4544712</v>
      </c>
      <c r="N44" s="17">
        <v>3940668</v>
      </c>
      <c r="O44" s="17">
        <v>1337526</v>
      </c>
      <c r="P44" s="17">
        <v>1687488</v>
      </c>
      <c r="Q44" s="17">
        <v>3130482</v>
      </c>
      <c r="R44" s="19">
        <f t="shared" si="3"/>
        <v>33652668</v>
      </c>
      <c r="T44" s="15"/>
      <c r="U44" s="15"/>
    </row>
    <row r="45" spans="1:21" x14ac:dyDescent="0.25">
      <c r="A45" s="1" t="s">
        <v>87</v>
      </c>
      <c r="B45" s="4" t="s">
        <v>88</v>
      </c>
      <c r="C45" s="5">
        <v>1000000</v>
      </c>
      <c r="D45" s="12"/>
      <c r="E45" s="5">
        <v>1000000</v>
      </c>
      <c r="F45" s="5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9">
        <f t="shared" si="3"/>
        <v>0</v>
      </c>
      <c r="T45" s="15"/>
      <c r="U45" s="15"/>
    </row>
    <row r="46" spans="1:21" x14ac:dyDescent="0.25">
      <c r="A46" s="1" t="s">
        <v>89</v>
      </c>
      <c r="B46" s="4" t="s">
        <v>90</v>
      </c>
      <c r="C46" s="5">
        <v>1000000</v>
      </c>
      <c r="D46" s="12"/>
      <c r="E46" s="5">
        <v>1000000</v>
      </c>
      <c r="F46" s="5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>
        <v>90392</v>
      </c>
      <c r="R46" s="19">
        <f t="shared" si="3"/>
        <v>90392</v>
      </c>
      <c r="T46" s="15"/>
      <c r="U46" s="15"/>
    </row>
    <row r="47" spans="1:21" x14ac:dyDescent="0.25">
      <c r="A47" s="1" t="s">
        <v>91</v>
      </c>
      <c r="B47" s="4" t="s">
        <v>92</v>
      </c>
      <c r="C47" s="5">
        <v>10000000</v>
      </c>
      <c r="D47" s="12"/>
      <c r="E47" s="5">
        <v>10000000</v>
      </c>
      <c r="F47" s="5">
        <v>156879</v>
      </c>
      <c r="G47" s="17">
        <v>206388</v>
      </c>
      <c r="H47" s="17">
        <v>265324</v>
      </c>
      <c r="I47" s="17">
        <v>228942</v>
      </c>
      <c r="J47" s="17">
        <v>204786</v>
      </c>
      <c r="K47" s="17">
        <v>103672</v>
      </c>
      <c r="L47" s="17">
        <v>155508</v>
      </c>
      <c r="M47" s="17">
        <v>138794</v>
      </c>
      <c r="N47" s="17">
        <v>172546</v>
      </c>
      <c r="O47" s="17">
        <v>128974</v>
      </c>
      <c r="P47" s="17">
        <v>596114</v>
      </c>
      <c r="Q47" s="17">
        <v>466524</v>
      </c>
      <c r="R47" s="19">
        <f t="shared" si="3"/>
        <v>2824451</v>
      </c>
      <c r="T47" s="15"/>
      <c r="U47" s="15"/>
    </row>
    <row r="48" spans="1:21" x14ac:dyDescent="0.25">
      <c r="A48" s="1" t="s">
        <v>93</v>
      </c>
      <c r="B48" s="4" t="s">
        <v>94</v>
      </c>
      <c r="C48" s="5">
        <v>1000000</v>
      </c>
      <c r="D48" s="12"/>
      <c r="E48" s="5">
        <v>1000000</v>
      </c>
      <c r="F48" s="5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9">
        <f t="shared" si="3"/>
        <v>0</v>
      </c>
      <c r="T48" s="15"/>
      <c r="U48" s="15"/>
    </row>
    <row r="49" spans="1:21" x14ac:dyDescent="0.25">
      <c r="A49" s="1" t="s">
        <v>95</v>
      </c>
      <c r="B49" s="4" t="s">
        <v>96</v>
      </c>
      <c r="C49" s="5">
        <v>1000000</v>
      </c>
      <c r="D49" s="12"/>
      <c r="E49" s="5">
        <v>1000000</v>
      </c>
      <c r="F49" s="5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9">
        <f t="shared" si="3"/>
        <v>0</v>
      </c>
      <c r="T49" s="15"/>
      <c r="U49" s="15"/>
    </row>
    <row r="50" spans="1:21" x14ac:dyDescent="0.25">
      <c r="A50" s="1" t="s">
        <v>97</v>
      </c>
      <c r="B50" s="4" t="s">
        <v>98</v>
      </c>
      <c r="C50" s="5">
        <v>1000000</v>
      </c>
      <c r="D50" s="12"/>
      <c r="E50" s="5">
        <v>1000000</v>
      </c>
      <c r="F50" s="5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9">
        <f t="shared" si="3"/>
        <v>0</v>
      </c>
      <c r="T50" s="15"/>
      <c r="U50" s="15"/>
    </row>
    <row r="51" spans="1:21" x14ac:dyDescent="0.25">
      <c r="A51" s="1" t="s">
        <v>99</v>
      </c>
      <c r="B51" s="4" t="s">
        <v>100</v>
      </c>
      <c r="C51" s="5">
        <v>1000000</v>
      </c>
      <c r="D51" s="12"/>
      <c r="E51" s="5">
        <v>1000000</v>
      </c>
      <c r="F51" s="5">
        <v>93638</v>
      </c>
      <c r="G51" s="17">
        <v>561828</v>
      </c>
      <c r="H51" s="17">
        <v>124562</v>
      </c>
      <c r="I51" s="17">
        <v>936380</v>
      </c>
      <c r="J51" s="17">
        <v>468190</v>
      </c>
      <c r="K51" s="17">
        <v>187276</v>
      </c>
      <c r="L51" s="17">
        <v>280914</v>
      </c>
      <c r="M51" s="17">
        <v>187276</v>
      </c>
      <c r="N51" s="17">
        <v>374552</v>
      </c>
      <c r="O51" s="17">
        <v>374552</v>
      </c>
      <c r="P51" s="17">
        <v>93638</v>
      </c>
      <c r="Q51" s="17">
        <v>93638</v>
      </c>
      <c r="R51" s="19">
        <f t="shared" si="3"/>
        <v>3776444</v>
      </c>
      <c r="T51" s="15"/>
      <c r="U51" s="15"/>
    </row>
    <row r="52" spans="1:21" x14ac:dyDescent="0.25">
      <c r="A52" s="1" t="s">
        <v>101</v>
      </c>
      <c r="B52" s="4" t="s">
        <v>102</v>
      </c>
      <c r="C52" s="5">
        <v>1000000</v>
      </c>
      <c r="D52" s="12"/>
      <c r="E52" s="5">
        <v>1000000</v>
      </c>
      <c r="F52" s="5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9">
        <f t="shared" si="3"/>
        <v>0</v>
      </c>
      <c r="T52" s="15"/>
      <c r="U52" s="15"/>
    </row>
    <row r="53" spans="1:21" x14ac:dyDescent="0.25">
      <c r="A53" s="1" t="s">
        <v>103</v>
      </c>
      <c r="B53" s="4" t="s">
        <v>104</v>
      </c>
      <c r="C53" s="5">
        <v>1000000</v>
      </c>
      <c r="D53" s="12"/>
      <c r="E53" s="5">
        <v>1000000</v>
      </c>
      <c r="F53" s="5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9">
        <f t="shared" si="3"/>
        <v>0</v>
      </c>
      <c r="T53" s="15"/>
      <c r="U53" s="15"/>
    </row>
    <row r="54" spans="1:21" x14ac:dyDescent="0.25">
      <c r="A54" s="1" t="s">
        <v>105</v>
      </c>
      <c r="B54" s="4" t="s">
        <v>106</v>
      </c>
      <c r="C54" s="5">
        <v>1000000</v>
      </c>
      <c r="D54" s="12"/>
      <c r="E54" s="5">
        <v>1000000</v>
      </c>
      <c r="F54" s="5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9">
        <f t="shared" si="3"/>
        <v>0</v>
      </c>
      <c r="T54" s="15"/>
      <c r="U54" s="15"/>
    </row>
    <row r="55" spans="1:21" x14ac:dyDescent="0.25">
      <c r="A55" s="1" t="s">
        <v>107</v>
      </c>
      <c r="B55" s="4" t="s">
        <v>108</v>
      </c>
      <c r="C55" s="5">
        <v>100000</v>
      </c>
      <c r="D55" s="12"/>
      <c r="E55" s="5">
        <v>100000</v>
      </c>
      <c r="F55" s="5"/>
      <c r="G55" s="17"/>
      <c r="H55" s="17"/>
      <c r="I55" s="17"/>
      <c r="J55" s="17"/>
      <c r="K55" s="17"/>
      <c r="L55" s="17"/>
      <c r="M55" s="17"/>
      <c r="N55" s="17"/>
      <c r="O55" s="17">
        <v>116112</v>
      </c>
      <c r="P55" s="17">
        <v>116112</v>
      </c>
      <c r="Q55" s="17">
        <v>58056</v>
      </c>
      <c r="R55" s="19">
        <f t="shared" si="3"/>
        <v>290280</v>
      </c>
      <c r="T55" s="15"/>
      <c r="U55" s="15"/>
    </row>
    <row r="56" spans="1:21" x14ac:dyDescent="0.25">
      <c r="A56" s="1" t="s">
        <v>109</v>
      </c>
      <c r="B56" s="4" t="s">
        <v>110</v>
      </c>
      <c r="C56" s="5">
        <v>100000</v>
      </c>
      <c r="D56" s="12"/>
      <c r="E56" s="5">
        <v>100000</v>
      </c>
      <c r="F56" s="5"/>
      <c r="G56" s="17"/>
      <c r="H56" s="17"/>
      <c r="I56" s="17"/>
      <c r="J56" s="17"/>
      <c r="K56" s="17"/>
      <c r="L56" s="17">
        <v>52772</v>
      </c>
      <c r="M56" s="17"/>
      <c r="N56" s="17"/>
      <c r="O56" s="17"/>
      <c r="P56" s="17"/>
      <c r="Q56" s="17">
        <v>52772</v>
      </c>
      <c r="R56" s="19">
        <f t="shared" si="3"/>
        <v>105544</v>
      </c>
      <c r="T56" s="15"/>
      <c r="U56" s="15"/>
    </row>
    <row r="57" spans="1:21" x14ac:dyDescent="0.25">
      <c r="A57" s="1" t="s">
        <v>111</v>
      </c>
      <c r="B57" s="4" t="s">
        <v>112</v>
      </c>
      <c r="C57" s="5">
        <v>100000</v>
      </c>
      <c r="D57" s="12"/>
      <c r="E57" s="5">
        <v>100000</v>
      </c>
      <c r="F57" s="5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9">
        <f t="shared" si="3"/>
        <v>0</v>
      </c>
      <c r="T57" s="15"/>
      <c r="U57" s="15"/>
    </row>
    <row r="58" spans="1:21" x14ac:dyDescent="0.25">
      <c r="A58" s="1" t="s">
        <v>113</v>
      </c>
      <c r="B58" s="4" t="s">
        <v>114</v>
      </c>
      <c r="C58" s="5">
        <v>1000000</v>
      </c>
      <c r="D58" s="12"/>
      <c r="E58" s="5">
        <v>1000000</v>
      </c>
      <c r="F58" s="5"/>
      <c r="G58" s="17"/>
      <c r="H58" s="17"/>
      <c r="I58" s="17">
        <v>90392</v>
      </c>
      <c r="J58" s="17">
        <v>90392</v>
      </c>
      <c r="K58" s="17">
        <v>90392</v>
      </c>
      <c r="L58" s="17"/>
      <c r="M58" s="17">
        <v>180784</v>
      </c>
      <c r="N58" s="17">
        <v>271176</v>
      </c>
      <c r="O58" s="17">
        <v>180784</v>
      </c>
      <c r="P58" s="17">
        <v>542352</v>
      </c>
      <c r="Q58" s="17">
        <v>361568</v>
      </c>
      <c r="R58" s="19">
        <f t="shared" si="3"/>
        <v>1807840</v>
      </c>
      <c r="T58" s="15"/>
      <c r="U58" s="15"/>
    </row>
    <row r="59" spans="1:21" x14ac:dyDescent="0.25">
      <c r="A59" s="1" t="s">
        <v>115</v>
      </c>
      <c r="B59" s="4" t="s">
        <v>116</v>
      </c>
      <c r="C59" s="5">
        <v>300000</v>
      </c>
      <c r="D59" s="12"/>
      <c r="E59" s="5">
        <v>300000</v>
      </c>
      <c r="F59" s="5"/>
      <c r="G59" s="17"/>
      <c r="H59" s="17"/>
      <c r="I59" s="17">
        <v>0</v>
      </c>
      <c r="J59" s="17">
        <v>98407</v>
      </c>
      <c r="K59" s="17"/>
      <c r="L59" s="17"/>
      <c r="M59" s="17"/>
      <c r="N59" s="17"/>
      <c r="O59" s="17">
        <v>98407</v>
      </c>
      <c r="P59" s="17">
        <v>98407</v>
      </c>
      <c r="Q59" s="17">
        <v>826883</v>
      </c>
      <c r="R59" s="19">
        <f t="shared" si="3"/>
        <v>1122104</v>
      </c>
      <c r="T59" s="15"/>
      <c r="U59" s="15"/>
    </row>
    <row r="60" spans="1:21" x14ac:dyDescent="0.25">
      <c r="A60" s="1" t="s">
        <v>117</v>
      </c>
      <c r="B60" s="4" t="s">
        <v>118</v>
      </c>
      <c r="C60" s="5">
        <v>100000</v>
      </c>
      <c r="D60" s="12"/>
      <c r="E60" s="5">
        <v>100000</v>
      </c>
      <c r="F60" s="5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9">
        <f t="shared" si="3"/>
        <v>0</v>
      </c>
      <c r="T60" s="15"/>
      <c r="U60" s="15"/>
    </row>
    <row r="61" spans="1:21" x14ac:dyDescent="0.25">
      <c r="A61" s="1" t="s">
        <v>119</v>
      </c>
      <c r="B61" s="4" t="s">
        <v>120</v>
      </c>
      <c r="C61" s="5">
        <v>100000</v>
      </c>
      <c r="D61" s="12"/>
      <c r="E61" s="5">
        <v>100000</v>
      </c>
      <c r="F61" s="5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9">
        <f t="shared" si="3"/>
        <v>0</v>
      </c>
      <c r="T61" s="15"/>
      <c r="U61" s="15"/>
    </row>
    <row r="62" spans="1:21" x14ac:dyDescent="0.25">
      <c r="A62" s="1" t="s">
        <v>121</v>
      </c>
      <c r="B62" s="4" t="s">
        <v>122</v>
      </c>
      <c r="C62" s="5">
        <v>100000</v>
      </c>
      <c r="D62" s="12"/>
      <c r="E62" s="5">
        <v>100000</v>
      </c>
      <c r="F62" s="5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9">
        <f t="shared" si="3"/>
        <v>0</v>
      </c>
      <c r="T62" s="15"/>
      <c r="U62" s="15"/>
    </row>
    <row r="63" spans="1:21" x14ac:dyDescent="0.25">
      <c r="A63" s="1" t="s">
        <v>123</v>
      </c>
      <c r="B63" s="4" t="s">
        <v>124</v>
      </c>
      <c r="C63" s="5">
        <v>100000</v>
      </c>
      <c r="D63" s="12"/>
      <c r="E63" s="5">
        <v>100000</v>
      </c>
      <c r="F63" s="5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9">
        <f t="shared" si="3"/>
        <v>0</v>
      </c>
      <c r="T63" s="15"/>
      <c r="U63" s="15"/>
    </row>
    <row r="64" spans="1:21" x14ac:dyDescent="0.25">
      <c r="A64" s="1" t="s">
        <v>125</v>
      </c>
      <c r="B64" s="4" t="s">
        <v>126</v>
      </c>
      <c r="C64" s="5">
        <v>1585890000</v>
      </c>
      <c r="D64" s="12"/>
      <c r="E64" s="5">
        <v>1585890000</v>
      </c>
      <c r="F64" s="5"/>
      <c r="G64" s="17"/>
      <c r="H64" s="17"/>
      <c r="I64" s="17"/>
      <c r="J64" s="17"/>
      <c r="K64" s="17"/>
      <c r="L64" s="17"/>
      <c r="M64" s="17"/>
      <c r="N64" s="17">
        <v>600000000</v>
      </c>
      <c r="O64" s="17"/>
      <c r="P64" s="17"/>
      <c r="Q64" s="17"/>
      <c r="R64" s="19">
        <f t="shared" si="3"/>
        <v>600000000</v>
      </c>
      <c r="T64" s="15"/>
      <c r="U64" s="15"/>
    </row>
    <row r="65" spans="1:21" x14ac:dyDescent="0.25">
      <c r="A65" s="1" t="s">
        <v>127</v>
      </c>
      <c r="B65" s="4" t="s">
        <v>128</v>
      </c>
      <c r="C65" s="5">
        <v>100000</v>
      </c>
      <c r="D65" s="12"/>
      <c r="E65" s="5">
        <v>100000</v>
      </c>
      <c r="F65" s="5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9">
        <f t="shared" si="3"/>
        <v>0</v>
      </c>
      <c r="T65" s="15"/>
      <c r="U65" s="15"/>
    </row>
    <row r="66" spans="1:21" x14ac:dyDescent="0.25">
      <c r="A66" s="1" t="s">
        <v>129</v>
      </c>
      <c r="B66" s="4" t="s">
        <v>130</v>
      </c>
      <c r="C66" s="5">
        <v>15000000</v>
      </c>
      <c r="D66" s="12"/>
      <c r="E66" s="5">
        <v>15000000</v>
      </c>
      <c r="F66" s="5">
        <v>4275897</v>
      </c>
      <c r="G66" s="17">
        <v>5166255</v>
      </c>
      <c r="H66" s="17">
        <v>13223370</v>
      </c>
      <c r="I66" s="17">
        <v>4228266</v>
      </c>
      <c r="J66" s="17">
        <v>727665</v>
      </c>
      <c r="K66" s="17">
        <v>4330128</v>
      </c>
      <c r="L66" s="17">
        <v>6831909</v>
      </c>
      <c r="M66" s="17">
        <v>6132075</v>
      </c>
      <c r="N66" s="17">
        <v>9394521</v>
      </c>
      <c r="O66" s="17">
        <v>8415501</v>
      </c>
      <c r="P66" s="17">
        <v>3922680</v>
      </c>
      <c r="Q66" s="17">
        <v>972420</v>
      </c>
      <c r="R66" s="19">
        <f t="shared" si="3"/>
        <v>67620687</v>
      </c>
      <c r="T66" s="15"/>
      <c r="U66" s="15"/>
    </row>
    <row r="67" spans="1:21" x14ac:dyDescent="0.25">
      <c r="A67" s="1" t="s">
        <v>131</v>
      </c>
      <c r="B67" s="4" t="s">
        <v>132</v>
      </c>
      <c r="C67" s="5">
        <v>600000000</v>
      </c>
      <c r="D67" s="12"/>
      <c r="E67" s="5">
        <v>600000000</v>
      </c>
      <c r="F67" s="5">
        <v>71703447</v>
      </c>
      <c r="G67" s="17">
        <v>85919500</v>
      </c>
      <c r="H67" s="17">
        <v>110042832</v>
      </c>
      <c r="I67" s="17">
        <v>54113106</v>
      </c>
      <c r="J67" s="17">
        <v>45880728</v>
      </c>
      <c r="K67" s="17">
        <v>61277803</v>
      </c>
      <c r="L67" s="17">
        <v>48273777</v>
      </c>
      <c r="M67" s="17">
        <v>42178867</v>
      </c>
      <c r="N67" s="17">
        <v>35639851</v>
      </c>
      <c r="O67" s="17">
        <v>31432588</v>
      </c>
      <c r="P67" s="17">
        <v>43052406</v>
      </c>
      <c r="Q67" s="17">
        <v>75946931</v>
      </c>
      <c r="R67" s="19">
        <f t="shared" si="3"/>
        <v>705461836</v>
      </c>
      <c r="T67" s="15"/>
      <c r="U67" s="15"/>
    </row>
    <row r="68" spans="1:21" x14ac:dyDescent="0.25">
      <c r="A68" s="1" t="s">
        <v>133</v>
      </c>
      <c r="B68" s="4" t="s">
        <v>134</v>
      </c>
      <c r="C68" s="5">
        <v>9000000</v>
      </c>
      <c r="D68" s="12"/>
      <c r="E68" s="5">
        <v>9000000</v>
      </c>
      <c r="F68" s="5"/>
      <c r="G68" s="17"/>
      <c r="H68" s="17"/>
      <c r="I68" s="17"/>
      <c r="J68" s="17"/>
      <c r="K68" s="17">
        <v>1000016</v>
      </c>
      <c r="L68" s="17">
        <v>2280309</v>
      </c>
      <c r="M68" s="17">
        <v>6951419</v>
      </c>
      <c r="N68" s="17">
        <v>5959528</v>
      </c>
      <c r="O68" s="17">
        <f>38599224+1000016</f>
        <v>39599240</v>
      </c>
      <c r="P68" s="17">
        <v>8098320</v>
      </c>
      <c r="Q68" s="17">
        <v>48114638</v>
      </c>
      <c r="R68" s="19">
        <f t="shared" si="3"/>
        <v>112003470</v>
      </c>
      <c r="T68" s="15"/>
      <c r="U68" s="15"/>
    </row>
    <row r="69" spans="1:21" x14ac:dyDescent="0.25">
      <c r="A69" s="7"/>
      <c r="B69" s="2" t="s">
        <v>135</v>
      </c>
      <c r="C69" s="6">
        <f>C3+C5</f>
        <v>9154490000</v>
      </c>
      <c r="D69" s="6">
        <f>D3+D5</f>
        <v>508576089</v>
      </c>
      <c r="E69" s="6">
        <f>E3+E5</f>
        <v>9663066089</v>
      </c>
      <c r="F69" s="6">
        <f t="shared" ref="F69:R69" si="4">F3+F5</f>
        <v>662497992</v>
      </c>
      <c r="G69" s="6">
        <f t="shared" si="4"/>
        <v>862429396</v>
      </c>
      <c r="H69" s="6">
        <f t="shared" si="4"/>
        <v>1133040875</v>
      </c>
      <c r="I69" s="6">
        <f t="shared" si="4"/>
        <v>691730041</v>
      </c>
      <c r="J69" s="6">
        <f t="shared" si="4"/>
        <v>676507740</v>
      </c>
      <c r="K69" s="6">
        <f t="shared" si="4"/>
        <v>587648181</v>
      </c>
      <c r="L69" s="6">
        <f t="shared" si="4"/>
        <v>553608773</v>
      </c>
      <c r="M69" s="6">
        <f t="shared" si="4"/>
        <v>602589264</v>
      </c>
      <c r="N69" s="6">
        <f>N4+N5</f>
        <v>1193209842</v>
      </c>
      <c r="O69" s="6">
        <f>O4+O5</f>
        <v>569285033</v>
      </c>
      <c r="P69" s="6">
        <f>P4+P5</f>
        <v>514588300</v>
      </c>
      <c r="Q69" s="6">
        <f>Q4+Q5</f>
        <v>847056051</v>
      </c>
      <c r="R69" s="6">
        <f t="shared" si="4"/>
        <v>8894191488</v>
      </c>
      <c r="T69" s="15"/>
      <c r="U69" s="15"/>
    </row>
    <row r="70" spans="1:21" x14ac:dyDescent="0.25">
      <c r="A70" s="1" t="s">
        <v>136</v>
      </c>
      <c r="B70" s="8" t="s">
        <v>137</v>
      </c>
      <c r="C70" s="9"/>
      <c r="D70" s="12"/>
      <c r="E70" s="12"/>
      <c r="F70" s="5"/>
      <c r="G70" s="17"/>
      <c r="H70" s="17"/>
      <c r="I70" s="17"/>
      <c r="J70" s="59"/>
      <c r="K70" s="59"/>
      <c r="L70" s="59"/>
      <c r="M70" s="59"/>
      <c r="N70" s="59"/>
      <c r="O70" s="59"/>
      <c r="P70" s="59"/>
      <c r="Q70" s="59"/>
      <c r="R70" s="12"/>
      <c r="T70" s="15"/>
      <c r="U70" s="15"/>
    </row>
    <row r="71" spans="1:21" x14ac:dyDescent="0.25">
      <c r="A71" s="1" t="s">
        <v>138</v>
      </c>
      <c r="B71" s="2" t="s">
        <v>139</v>
      </c>
      <c r="C71" s="6">
        <v>0</v>
      </c>
      <c r="D71" s="6">
        <v>0</v>
      </c>
      <c r="E71" s="12"/>
      <c r="F71" s="5"/>
      <c r="G71" s="17"/>
      <c r="H71" s="17"/>
      <c r="I71" s="17"/>
      <c r="J71" s="59"/>
      <c r="K71" s="59"/>
      <c r="L71" s="59"/>
      <c r="M71" s="59"/>
      <c r="N71" s="59"/>
      <c r="O71" s="59"/>
      <c r="P71" s="59"/>
      <c r="Q71" s="59"/>
      <c r="R71" s="12"/>
      <c r="T71" s="15"/>
      <c r="U71" s="15"/>
    </row>
    <row r="72" spans="1:21" x14ac:dyDescent="0.25">
      <c r="A72" s="1" t="s">
        <v>140</v>
      </c>
      <c r="B72" s="2" t="s">
        <v>141</v>
      </c>
      <c r="C72" s="6">
        <f>+C73+C74+C75+C76</f>
        <v>3400000000</v>
      </c>
      <c r="D72" s="6">
        <f>+D73+D74+D75+D76</f>
        <v>0</v>
      </c>
      <c r="E72" s="6">
        <f>+E73+E74+E75+E76</f>
        <v>3400000000</v>
      </c>
      <c r="F72" s="6">
        <f t="shared" ref="F72:R72" si="5">+F73+F74+F75+F76</f>
        <v>140791605</v>
      </c>
      <c r="G72" s="6">
        <f t="shared" si="5"/>
        <v>187750181</v>
      </c>
      <c r="H72" s="6">
        <f t="shared" si="5"/>
        <v>265250970</v>
      </c>
      <c r="I72" s="6">
        <f t="shared" si="5"/>
        <v>222581474</v>
      </c>
      <c r="J72" s="6">
        <f t="shared" si="5"/>
        <v>218289411</v>
      </c>
      <c r="K72" s="6">
        <f t="shared" si="5"/>
        <v>236940406</v>
      </c>
      <c r="L72" s="6">
        <f t="shared" si="5"/>
        <v>285270955</v>
      </c>
      <c r="M72" s="6">
        <f t="shared" si="5"/>
        <v>367263620</v>
      </c>
      <c r="N72" s="6">
        <f t="shared" si="5"/>
        <v>354268970</v>
      </c>
      <c r="O72" s="6">
        <f t="shared" si="5"/>
        <v>289941365</v>
      </c>
      <c r="P72" s="6">
        <f t="shared" si="5"/>
        <v>335192888</v>
      </c>
      <c r="Q72" s="6">
        <f t="shared" si="5"/>
        <v>510480470</v>
      </c>
      <c r="R72" s="6">
        <f t="shared" si="5"/>
        <v>3414022315</v>
      </c>
      <c r="S72" s="97"/>
      <c r="T72" s="15"/>
      <c r="U72" s="15"/>
    </row>
    <row r="73" spans="1:21" x14ac:dyDescent="0.25">
      <c r="A73" s="1" t="s">
        <v>142</v>
      </c>
      <c r="B73" s="4" t="s">
        <v>143</v>
      </c>
      <c r="C73" s="5">
        <v>1500000000</v>
      </c>
      <c r="D73" s="12"/>
      <c r="E73" s="5">
        <v>1500000000</v>
      </c>
      <c r="F73" s="5">
        <v>68975240</v>
      </c>
      <c r="G73" s="5">
        <v>79658993</v>
      </c>
      <c r="H73" s="5">
        <v>158642364</v>
      </c>
      <c r="I73" s="5">
        <f>198018939-I6</f>
        <v>128262515</v>
      </c>
      <c r="J73" s="59">
        <v>131339166</v>
      </c>
      <c r="K73" s="59">
        <v>129341905</v>
      </c>
      <c r="L73" s="59">
        <v>120583445</v>
      </c>
      <c r="M73" s="59">
        <v>198040860</v>
      </c>
      <c r="N73" s="59">
        <v>211252440</v>
      </c>
      <c r="O73" s="59">
        <v>141438988</v>
      </c>
      <c r="P73" s="17">
        <v>142149428</v>
      </c>
      <c r="Q73" s="17">
        <v>172130979</v>
      </c>
      <c r="R73" s="19">
        <f t="shared" ref="R73:R76" si="6">F73+G73+H73+I73+J73+K73+L73+M73+N73+O73+P73+Q73</f>
        <v>1681816323</v>
      </c>
      <c r="T73" s="15"/>
      <c r="U73" s="15"/>
    </row>
    <row r="74" spans="1:21" x14ac:dyDescent="0.25">
      <c r="A74" s="1" t="s">
        <v>144</v>
      </c>
      <c r="B74" s="4" t="s">
        <v>145</v>
      </c>
      <c r="C74" s="5">
        <v>580000000</v>
      </c>
      <c r="D74" s="12"/>
      <c r="E74" s="5">
        <v>580000000</v>
      </c>
      <c r="F74" s="5">
        <v>25896475</v>
      </c>
      <c r="G74" s="5">
        <v>48652347</v>
      </c>
      <c r="H74" s="5">
        <v>52489756</v>
      </c>
      <c r="I74" s="5">
        <v>47686904</v>
      </c>
      <c r="J74" s="59">
        <v>37614911</v>
      </c>
      <c r="K74" s="59">
        <v>59848057</v>
      </c>
      <c r="L74" s="59">
        <f>19457423+50121286</f>
        <v>69578709</v>
      </c>
      <c r="M74" s="59">
        <f>53557529+32019067</f>
        <v>85576596</v>
      </c>
      <c r="N74" s="59">
        <f>26094105+48098561</f>
        <v>74192666</v>
      </c>
      <c r="O74" s="59">
        <v>82305265</v>
      </c>
      <c r="P74" s="17">
        <v>100663203</v>
      </c>
      <c r="Q74" s="17">
        <v>178105992</v>
      </c>
      <c r="R74" s="19">
        <f t="shared" si="6"/>
        <v>862610881</v>
      </c>
      <c r="T74" s="15"/>
      <c r="U74" s="15"/>
    </row>
    <row r="75" spans="1:21" x14ac:dyDescent="0.25">
      <c r="A75" s="1" t="s">
        <v>146</v>
      </c>
      <c r="B75" s="4" t="s">
        <v>147</v>
      </c>
      <c r="C75" s="5">
        <v>660000000</v>
      </c>
      <c r="D75" s="12"/>
      <c r="E75" s="5">
        <v>660000000</v>
      </c>
      <c r="F75" s="5">
        <v>27956332</v>
      </c>
      <c r="G75" s="5">
        <v>39874558</v>
      </c>
      <c r="H75" s="5">
        <v>33569874</v>
      </c>
      <c r="I75" s="5">
        <v>27875632</v>
      </c>
      <c r="J75" s="59">
        <v>29786458</v>
      </c>
      <c r="K75" s="59">
        <v>38975642</v>
      </c>
      <c r="L75" s="17">
        <v>80229237</v>
      </c>
      <c r="M75" s="59">
        <v>73675641</v>
      </c>
      <c r="N75" s="59">
        <v>60698385</v>
      </c>
      <c r="O75" s="59">
        <v>56318366</v>
      </c>
      <c r="P75" s="17">
        <v>78580302</v>
      </c>
      <c r="Q75" s="17">
        <v>136445250</v>
      </c>
      <c r="R75" s="19">
        <f t="shared" si="6"/>
        <v>683985677</v>
      </c>
      <c r="T75" s="15"/>
      <c r="U75" s="15"/>
    </row>
    <row r="76" spans="1:21" x14ac:dyDescent="0.25">
      <c r="A76" s="1" t="s">
        <v>148</v>
      </c>
      <c r="B76" s="4" t="s">
        <v>149</v>
      </c>
      <c r="C76" s="5">
        <v>660000000</v>
      </c>
      <c r="D76" s="12"/>
      <c r="E76" s="5">
        <v>660000000</v>
      </c>
      <c r="F76" s="5">
        <v>17963558</v>
      </c>
      <c r="G76" s="5">
        <v>19564283</v>
      </c>
      <c r="H76" s="5">
        <v>20548976</v>
      </c>
      <c r="I76" s="5">
        <v>18756423</v>
      </c>
      <c r="J76" s="59">
        <v>19548876</v>
      </c>
      <c r="K76" s="59">
        <v>8774802</v>
      </c>
      <c r="L76" s="59">
        <v>14879564</v>
      </c>
      <c r="M76" s="59">
        <f>14364+13498+207+9902436+9327+441+30250</f>
        <v>9970523</v>
      </c>
      <c r="N76" s="59">
        <v>8125479</v>
      </c>
      <c r="O76" s="59">
        <f>9204553+674193</f>
        <v>9878746</v>
      </c>
      <c r="P76" s="17">
        <v>13799955</v>
      </c>
      <c r="Q76" s="17">
        <v>23798249</v>
      </c>
      <c r="R76" s="19">
        <f t="shared" si="6"/>
        <v>185609434</v>
      </c>
      <c r="T76" s="15"/>
      <c r="U76" s="15"/>
    </row>
    <row r="77" spans="1:21" x14ac:dyDescent="0.25">
      <c r="A77" s="1" t="s">
        <v>150</v>
      </c>
      <c r="B77" s="4" t="s">
        <v>151</v>
      </c>
      <c r="C77" s="5">
        <v>12000000</v>
      </c>
      <c r="D77" s="12"/>
      <c r="E77" s="5">
        <v>12000000</v>
      </c>
      <c r="F77" s="5"/>
      <c r="G77" s="17"/>
      <c r="H77" s="17"/>
      <c r="I77" s="17"/>
      <c r="J77" s="59"/>
      <c r="K77" s="59"/>
      <c r="L77" s="59"/>
      <c r="M77" s="59"/>
      <c r="N77" s="59"/>
      <c r="O77" s="59"/>
      <c r="P77" s="59"/>
      <c r="Q77" s="59"/>
      <c r="R77" s="12"/>
      <c r="T77" s="15"/>
      <c r="U77" s="15"/>
    </row>
    <row r="78" spans="1:21" x14ac:dyDescent="0.25">
      <c r="A78" s="1" t="s">
        <v>152</v>
      </c>
      <c r="B78" s="4" t="s">
        <v>153</v>
      </c>
      <c r="C78" s="5">
        <v>1000000</v>
      </c>
      <c r="D78" s="12"/>
      <c r="E78" s="5">
        <v>1000000</v>
      </c>
      <c r="F78" s="5"/>
      <c r="G78" s="17"/>
      <c r="H78" s="17"/>
      <c r="I78" s="17"/>
      <c r="J78" s="59"/>
      <c r="K78" s="59"/>
      <c r="L78" s="59"/>
      <c r="M78" s="59"/>
      <c r="N78" s="59"/>
      <c r="O78" s="59"/>
      <c r="P78" s="59"/>
      <c r="Q78" s="59"/>
      <c r="R78" s="12"/>
      <c r="T78" s="15"/>
      <c r="U78" s="15"/>
    </row>
    <row r="79" spans="1:21" x14ac:dyDescent="0.25">
      <c r="A79" s="1" t="s">
        <v>154</v>
      </c>
      <c r="B79" s="2" t="s">
        <v>155</v>
      </c>
      <c r="C79" s="6">
        <v>10000000</v>
      </c>
      <c r="D79" s="12"/>
      <c r="E79" s="6">
        <v>10000000</v>
      </c>
      <c r="F79" s="5"/>
      <c r="G79" s="17"/>
      <c r="H79" s="17"/>
      <c r="I79" s="17"/>
      <c r="J79" s="59"/>
      <c r="K79" s="59"/>
      <c r="L79" s="59"/>
      <c r="M79" s="59"/>
      <c r="N79" s="59"/>
      <c r="O79" s="59"/>
      <c r="P79" s="59"/>
      <c r="Q79" s="59"/>
      <c r="R79" s="12"/>
      <c r="T79" s="15"/>
      <c r="U79" s="15"/>
    </row>
    <row r="80" spans="1:21" x14ac:dyDescent="0.25">
      <c r="A80" s="7"/>
      <c r="B80" s="8" t="s">
        <v>156</v>
      </c>
      <c r="C80" s="10">
        <f>+C71+C79+C72+C77+C78</f>
        <v>3423000000</v>
      </c>
      <c r="D80" s="10">
        <f>+D71+D79+D72+D77+D78</f>
        <v>0</v>
      </c>
      <c r="E80" s="10">
        <f>+E71+E79+E72+E77+E78</f>
        <v>3423000000</v>
      </c>
      <c r="F80" s="10">
        <f t="shared" ref="F80:R80" si="7">+F71+F79+F72+F77+F78</f>
        <v>140791605</v>
      </c>
      <c r="G80" s="10">
        <f t="shared" si="7"/>
        <v>187750181</v>
      </c>
      <c r="H80" s="10">
        <f t="shared" si="7"/>
        <v>265250970</v>
      </c>
      <c r="I80" s="10">
        <f t="shared" si="7"/>
        <v>222581474</v>
      </c>
      <c r="J80" s="10">
        <f t="shared" si="7"/>
        <v>218289411</v>
      </c>
      <c r="K80" s="10">
        <f t="shared" si="7"/>
        <v>236940406</v>
      </c>
      <c r="L80" s="10">
        <f t="shared" si="7"/>
        <v>285270955</v>
      </c>
      <c r="M80" s="10">
        <f t="shared" si="7"/>
        <v>367263620</v>
      </c>
      <c r="N80" s="10">
        <f t="shared" si="7"/>
        <v>354268970</v>
      </c>
      <c r="O80" s="10">
        <f t="shared" si="7"/>
        <v>289941365</v>
      </c>
      <c r="P80" s="10">
        <f t="shared" si="7"/>
        <v>335192888</v>
      </c>
      <c r="Q80" s="10">
        <f t="shared" si="7"/>
        <v>510480470</v>
      </c>
      <c r="R80" s="10">
        <f t="shared" si="7"/>
        <v>3414022315</v>
      </c>
      <c r="S80" s="14"/>
      <c r="T80" s="15"/>
      <c r="U80" s="15"/>
    </row>
    <row r="81" spans="1:21" ht="15.75" x14ac:dyDescent="0.25">
      <c r="A81" s="100" t="s">
        <v>157</v>
      </c>
      <c r="B81" s="101"/>
      <c r="C81" s="11">
        <f t="shared" ref="C81:E81" si="8">+C69+C80</f>
        <v>12577490000</v>
      </c>
      <c r="D81" s="11">
        <f t="shared" si="8"/>
        <v>508576089</v>
      </c>
      <c r="E81" s="11">
        <f t="shared" si="8"/>
        <v>13086066089</v>
      </c>
      <c r="F81" s="11">
        <f t="shared" ref="F81:R81" si="9">+F69+F80</f>
        <v>803289597</v>
      </c>
      <c r="G81" s="11">
        <f t="shared" si="9"/>
        <v>1050179577</v>
      </c>
      <c r="H81" s="11">
        <f t="shared" si="9"/>
        <v>1398291845</v>
      </c>
      <c r="I81" s="11">
        <f t="shared" si="9"/>
        <v>914311515</v>
      </c>
      <c r="J81" s="11">
        <f t="shared" si="9"/>
        <v>894797151</v>
      </c>
      <c r="K81" s="11">
        <f t="shared" si="9"/>
        <v>824588587</v>
      </c>
      <c r="L81" s="11">
        <f t="shared" si="9"/>
        <v>838879728</v>
      </c>
      <c r="M81" s="11">
        <f t="shared" si="9"/>
        <v>969852884</v>
      </c>
      <c r="N81" s="11">
        <f t="shared" si="9"/>
        <v>1547478812</v>
      </c>
      <c r="O81" s="11">
        <f t="shared" si="9"/>
        <v>859226398</v>
      </c>
      <c r="P81" s="11">
        <f t="shared" si="9"/>
        <v>849781188</v>
      </c>
      <c r="Q81" s="11">
        <f t="shared" si="9"/>
        <v>1357536521</v>
      </c>
      <c r="R81" s="11">
        <f t="shared" si="9"/>
        <v>12308213803</v>
      </c>
      <c r="S81" s="14"/>
      <c r="T81" s="15"/>
      <c r="U81" s="15"/>
    </row>
    <row r="82" spans="1:21" x14ac:dyDescent="0.25">
      <c r="D82" s="62"/>
      <c r="H82" s="14"/>
      <c r="I82" s="14"/>
      <c r="J82" s="60"/>
      <c r="K82" s="60"/>
      <c r="L82" s="60"/>
      <c r="M82" s="60"/>
      <c r="N82" s="60"/>
      <c r="O82" s="60"/>
      <c r="P82" s="60"/>
      <c r="Q82" s="60"/>
      <c r="S82" s="14"/>
      <c r="T82" s="15"/>
      <c r="U82" s="15"/>
    </row>
    <row r="83" spans="1:21" x14ac:dyDescent="0.25">
      <c r="C83" s="62"/>
      <c r="E83" s="62"/>
      <c r="R83" s="62"/>
      <c r="S83" s="14"/>
      <c r="T83" s="15"/>
      <c r="U83" s="15"/>
    </row>
    <row r="84" spans="1:21" x14ac:dyDescent="0.25">
      <c r="A84" s="16"/>
      <c r="B84" s="16"/>
      <c r="C84" s="16"/>
      <c r="D84" s="16"/>
      <c r="E84" s="16"/>
      <c r="S84" s="14"/>
    </row>
    <row r="85" spans="1:21" x14ac:dyDescent="0.25">
      <c r="A85" s="16"/>
      <c r="B85" s="16"/>
      <c r="C85" s="16"/>
      <c r="D85" s="16"/>
      <c r="E85" s="16"/>
    </row>
    <row r="86" spans="1:21" ht="15" customHeight="1" x14ac:dyDescent="0.25">
      <c r="A86" s="16"/>
      <c r="B86" s="16"/>
      <c r="C86" s="16"/>
      <c r="D86" s="16"/>
      <c r="E86" s="16"/>
    </row>
    <row r="87" spans="1:21" x14ac:dyDescent="0.25">
      <c r="A87" s="16"/>
      <c r="B87" s="16"/>
      <c r="C87" s="16"/>
      <c r="D87" s="16"/>
      <c r="E87" s="16"/>
    </row>
    <row r="88" spans="1:21" x14ac:dyDescent="0.25">
      <c r="A88" s="16"/>
      <c r="B88" s="16"/>
      <c r="C88" s="16"/>
      <c r="D88" s="16"/>
      <c r="E88" s="16"/>
    </row>
    <row r="89" spans="1:21" x14ac:dyDescent="0.25">
      <c r="A89" s="16"/>
      <c r="B89" s="16"/>
      <c r="C89" s="16"/>
      <c r="D89" s="16"/>
      <c r="E89" s="16"/>
    </row>
    <row r="90" spans="1:21" x14ac:dyDescent="0.25">
      <c r="A90" s="16"/>
      <c r="B90" s="16"/>
      <c r="C90" s="16"/>
      <c r="D90" s="16"/>
      <c r="E90" s="16"/>
    </row>
    <row r="91" spans="1:21" x14ac:dyDescent="0.25">
      <c r="A91" s="16"/>
      <c r="B91" s="16"/>
      <c r="C91" s="16"/>
      <c r="D91" s="16"/>
      <c r="E91" s="16"/>
    </row>
    <row r="92" spans="1:21" x14ac:dyDescent="0.25">
      <c r="A92" s="16"/>
      <c r="B92" s="16"/>
      <c r="C92" s="16"/>
      <c r="D92" s="16"/>
      <c r="E92" s="16"/>
    </row>
    <row r="93" spans="1:21" x14ac:dyDescent="0.25">
      <c r="A93" s="16"/>
      <c r="B93" s="16"/>
      <c r="C93" s="16"/>
      <c r="D93" s="16"/>
      <c r="E93" s="16"/>
    </row>
    <row r="94" spans="1:21" x14ac:dyDescent="0.25">
      <c r="A94" s="16"/>
      <c r="B94" s="16"/>
      <c r="C94" s="16"/>
      <c r="D94" s="16"/>
      <c r="E94" s="16"/>
    </row>
    <row r="95" spans="1:21" x14ac:dyDescent="0.25">
      <c r="A95" s="16"/>
      <c r="B95" s="16"/>
      <c r="C95" s="16"/>
      <c r="D95" s="16"/>
      <c r="E95" s="16"/>
    </row>
    <row r="96" spans="1:21" x14ac:dyDescent="0.25">
      <c r="A96" s="16"/>
      <c r="B96" s="16"/>
      <c r="C96" s="16"/>
      <c r="D96" s="16"/>
      <c r="E96" s="16"/>
    </row>
    <row r="97" spans="1:11" ht="15" customHeight="1" x14ac:dyDescent="0.25">
      <c r="A97" s="16"/>
      <c r="B97" s="16"/>
      <c r="C97" s="16"/>
      <c r="D97" s="16"/>
      <c r="E97" s="16"/>
    </row>
    <row r="98" spans="1:11" ht="15" customHeight="1" x14ac:dyDescent="0.25">
      <c r="A98" s="16"/>
      <c r="B98" s="16"/>
      <c r="C98" s="16"/>
      <c r="D98" s="16"/>
      <c r="E98" s="16"/>
      <c r="K98" s="92"/>
    </row>
    <row r="99" spans="1:11" x14ac:dyDescent="0.25">
      <c r="A99" s="16"/>
      <c r="B99" s="16"/>
      <c r="C99" s="16"/>
      <c r="D99" s="16"/>
      <c r="E99" s="16"/>
    </row>
    <row r="100" spans="1:11" x14ac:dyDescent="0.25">
      <c r="A100" s="16"/>
      <c r="B100" s="16"/>
      <c r="C100" s="16"/>
      <c r="D100" s="16"/>
      <c r="E100" s="16"/>
    </row>
    <row r="101" spans="1:11" x14ac:dyDescent="0.25">
      <c r="A101" s="16"/>
      <c r="B101" s="16"/>
      <c r="C101" s="16"/>
      <c r="D101" s="16"/>
      <c r="E101" s="16"/>
    </row>
    <row r="102" spans="1:11" x14ac:dyDescent="0.25">
      <c r="A102" s="16"/>
      <c r="B102" s="16"/>
      <c r="C102" s="16"/>
      <c r="D102" s="16"/>
      <c r="E102" s="16"/>
    </row>
    <row r="103" spans="1:11" x14ac:dyDescent="0.25">
      <c r="A103" s="16"/>
      <c r="B103" s="16"/>
      <c r="C103" s="16"/>
      <c r="D103" s="16"/>
      <c r="E103" s="16"/>
    </row>
    <row r="104" spans="1:11" x14ac:dyDescent="0.25">
      <c r="A104" s="16"/>
      <c r="B104" s="16"/>
      <c r="C104" s="16"/>
      <c r="D104" s="16"/>
      <c r="E104" s="16"/>
    </row>
    <row r="106" spans="1:11" x14ac:dyDescent="0.25">
      <c r="D106" s="16"/>
      <c r="E106" s="16"/>
    </row>
    <row r="107" spans="1:11" x14ac:dyDescent="0.25">
      <c r="D107" s="16"/>
      <c r="E107" s="16"/>
    </row>
    <row r="108" spans="1:11" x14ac:dyDescent="0.25">
      <c r="D108" s="16"/>
      <c r="E108" s="16"/>
    </row>
    <row r="109" spans="1:11" ht="29.25" customHeight="1" x14ac:dyDescent="0.25">
      <c r="D109" s="16"/>
      <c r="E109" s="16"/>
    </row>
    <row r="110" spans="1:11" x14ac:dyDescent="0.25">
      <c r="D110" s="16"/>
      <c r="E110" s="16"/>
    </row>
    <row r="111" spans="1:11" x14ac:dyDescent="0.25">
      <c r="D111" s="16"/>
      <c r="E111" s="16"/>
    </row>
    <row r="112" spans="1:11" x14ac:dyDescent="0.25">
      <c r="D112" s="16"/>
      <c r="E112" s="16"/>
    </row>
    <row r="113" spans="4:5" x14ac:dyDescent="0.25">
      <c r="D113" s="16"/>
      <c r="E113" s="16"/>
    </row>
    <row r="114" spans="4:5" x14ac:dyDescent="0.25">
      <c r="D114" s="16"/>
      <c r="E114" s="16"/>
    </row>
    <row r="115" spans="4:5" x14ac:dyDescent="0.25">
      <c r="D115" s="16"/>
      <c r="E115" s="16"/>
    </row>
    <row r="116" spans="4:5" ht="28.5" customHeight="1" x14ac:dyDescent="0.25">
      <c r="D116" s="16"/>
      <c r="E116" s="16"/>
    </row>
    <row r="117" spans="4:5" x14ac:dyDescent="0.25">
      <c r="D117" s="16"/>
      <c r="E117" s="16"/>
    </row>
    <row r="118" spans="4:5" x14ac:dyDescent="0.25">
      <c r="D118" s="16"/>
      <c r="E118" s="16"/>
    </row>
  </sheetData>
  <autoFilter ref="A1:R81"/>
  <mergeCells count="19">
    <mergeCell ref="L1:L2"/>
    <mergeCell ref="M1:M2"/>
    <mergeCell ref="N1:N2"/>
    <mergeCell ref="O1:O2"/>
    <mergeCell ref="R1:R2"/>
    <mergeCell ref="P1:P2"/>
    <mergeCell ref="Q1:Q2"/>
    <mergeCell ref="K1:K2"/>
    <mergeCell ref="H1:H2"/>
    <mergeCell ref="I1:I2"/>
    <mergeCell ref="J1:J2"/>
    <mergeCell ref="A81:B81"/>
    <mergeCell ref="D1:D2"/>
    <mergeCell ref="E1:E2"/>
    <mergeCell ref="F1:F2"/>
    <mergeCell ref="G1:G2"/>
    <mergeCell ref="A1:A2"/>
    <mergeCell ref="B1:B2"/>
    <mergeCell ref="C1:C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5"/>
  <sheetViews>
    <sheetView topLeftCell="L62" workbookViewId="0">
      <selection activeCell="D1" sqref="D1:T2"/>
    </sheetView>
  </sheetViews>
  <sheetFormatPr baseColWidth="10" defaultRowHeight="15" x14ac:dyDescent="0.25"/>
  <cols>
    <col min="1" max="1" width="21.28515625" customWidth="1"/>
    <col min="2" max="2" width="67.140625" customWidth="1"/>
    <col min="3" max="3" width="29.42578125" customWidth="1"/>
    <col min="4" max="4" width="23" customWidth="1"/>
    <col min="5" max="5" width="21.140625" customWidth="1"/>
    <col min="6" max="6" width="20.42578125" customWidth="1"/>
    <col min="7" max="7" width="23.85546875" customWidth="1"/>
    <col min="8" max="8" width="18.7109375" bestFit="1" customWidth="1"/>
    <col min="9" max="9" width="20.5703125" customWidth="1"/>
    <col min="10" max="11" width="19.140625" customWidth="1"/>
    <col min="12" max="12" width="19.5703125" customWidth="1"/>
    <col min="13" max="13" width="19.140625" customWidth="1"/>
    <col min="14" max="15" width="22.5703125" customWidth="1"/>
    <col min="16" max="16" width="20.5703125" customWidth="1"/>
    <col min="17" max="18" width="18.42578125" customWidth="1"/>
    <col min="19" max="19" width="21.140625" customWidth="1"/>
    <col min="20" max="20" width="22.5703125" customWidth="1"/>
    <col min="21" max="21" width="15.140625" bestFit="1" customWidth="1"/>
    <col min="22" max="22" width="16.85546875" bestFit="1" customWidth="1"/>
  </cols>
  <sheetData>
    <row r="1" spans="1:22" ht="15" customHeight="1" x14ac:dyDescent="0.25">
      <c r="A1" s="108" t="s">
        <v>170</v>
      </c>
      <c r="B1" s="108" t="s">
        <v>162</v>
      </c>
      <c r="C1" s="108" t="s">
        <v>169</v>
      </c>
      <c r="D1" s="111" t="s">
        <v>163</v>
      </c>
      <c r="E1" s="112"/>
      <c r="F1" s="106" t="s">
        <v>164</v>
      </c>
      <c r="G1" s="106" t="s">
        <v>302</v>
      </c>
      <c r="H1" s="106" t="s">
        <v>165</v>
      </c>
      <c r="I1" s="106" t="s">
        <v>166</v>
      </c>
      <c r="J1" s="106" t="s">
        <v>303</v>
      </c>
      <c r="K1" s="106" t="s">
        <v>305</v>
      </c>
      <c r="L1" s="106" t="s">
        <v>307</v>
      </c>
      <c r="M1" s="106" t="s">
        <v>310</v>
      </c>
      <c r="N1" s="106" t="s">
        <v>335</v>
      </c>
      <c r="O1" s="106" t="s">
        <v>339</v>
      </c>
      <c r="P1" s="106" t="s">
        <v>341</v>
      </c>
      <c r="Q1" s="106" t="s">
        <v>342</v>
      </c>
      <c r="R1" s="106" t="s">
        <v>349</v>
      </c>
      <c r="S1" s="106" t="s">
        <v>351</v>
      </c>
      <c r="T1" s="106" t="s">
        <v>352</v>
      </c>
    </row>
    <row r="2" spans="1:22" x14ac:dyDescent="0.25">
      <c r="A2" s="109"/>
      <c r="B2" s="109"/>
      <c r="C2" s="110"/>
      <c r="D2" s="20" t="s">
        <v>167</v>
      </c>
      <c r="E2" s="20" t="s">
        <v>168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2" ht="18" x14ac:dyDescent="0.25">
      <c r="A3" s="21" t="s">
        <v>171</v>
      </c>
      <c r="B3" s="22" t="s">
        <v>172</v>
      </c>
      <c r="C3" s="21"/>
      <c r="D3" s="12"/>
      <c r="E3" s="12"/>
      <c r="F3" s="12"/>
      <c r="G3" s="12"/>
      <c r="H3" s="12"/>
      <c r="I3" s="12"/>
    </row>
    <row r="4" spans="1:22" ht="15.75" x14ac:dyDescent="0.3">
      <c r="A4" s="23" t="s">
        <v>173</v>
      </c>
      <c r="B4" s="24" t="s">
        <v>174</v>
      </c>
      <c r="C4" s="25">
        <f>C5+C6+C7</f>
        <v>4375600000</v>
      </c>
      <c r="D4" s="25">
        <f t="shared" ref="D4:F4" si="0">D5+D6+D7</f>
        <v>63000000</v>
      </c>
      <c r="E4" s="25">
        <f t="shared" si="0"/>
        <v>0</v>
      </c>
      <c r="F4" s="25">
        <f t="shared" si="0"/>
        <v>170850000</v>
      </c>
      <c r="G4" s="25">
        <f>G5+G6+G7</f>
        <v>4609450000</v>
      </c>
      <c r="H4" s="47">
        <f t="shared" ref="H4:T4" si="1">H5+H6+H7</f>
        <v>327219204</v>
      </c>
      <c r="I4" s="25">
        <f t="shared" si="1"/>
        <v>318772544</v>
      </c>
      <c r="J4" s="25">
        <f t="shared" si="1"/>
        <v>323674645</v>
      </c>
      <c r="K4" s="25">
        <f t="shared" si="1"/>
        <v>360093805</v>
      </c>
      <c r="L4" s="25">
        <f t="shared" si="1"/>
        <v>487598881</v>
      </c>
      <c r="M4" s="25">
        <f t="shared" si="1"/>
        <v>376848612</v>
      </c>
      <c r="N4" s="25">
        <f t="shared" si="1"/>
        <v>535286723</v>
      </c>
      <c r="O4" s="25">
        <f t="shared" si="1"/>
        <v>371853350</v>
      </c>
      <c r="P4" s="25">
        <f t="shared" si="1"/>
        <v>362968726</v>
      </c>
      <c r="Q4" s="25">
        <f t="shared" si="1"/>
        <v>367135112</v>
      </c>
      <c r="R4" s="25">
        <f t="shared" si="1"/>
        <v>361491759</v>
      </c>
      <c r="S4" s="25">
        <f t="shared" si="1"/>
        <v>378642116</v>
      </c>
      <c r="T4" s="25">
        <f t="shared" si="1"/>
        <v>4571585477</v>
      </c>
      <c r="V4" s="83"/>
    </row>
    <row r="5" spans="1:22" x14ac:dyDescent="0.25">
      <c r="A5" s="26" t="s">
        <v>175</v>
      </c>
      <c r="B5" s="27" t="s">
        <v>176</v>
      </c>
      <c r="C5" s="28">
        <v>4095600000</v>
      </c>
      <c r="D5" s="35">
        <v>40000000</v>
      </c>
      <c r="E5" s="12"/>
      <c r="F5" s="35">
        <v>170850000</v>
      </c>
      <c r="G5" s="44">
        <f>+C5+D5-E5+F5</f>
        <v>4306450000</v>
      </c>
      <c r="H5" s="48">
        <v>316383537</v>
      </c>
      <c r="I5" s="53">
        <v>314453822</v>
      </c>
      <c r="J5" s="54">
        <v>313346567</v>
      </c>
      <c r="K5" s="56">
        <v>350559408</v>
      </c>
      <c r="L5" s="61">
        <v>481210196</v>
      </c>
      <c r="M5" s="63">
        <v>359934491</v>
      </c>
      <c r="N5" s="54">
        <v>355237267</v>
      </c>
      <c r="O5" s="84">
        <v>356396930</v>
      </c>
      <c r="P5" s="86">
        <v>356065569</v>
      </c>
      <c r="Q5" s="87">
        <v>356121390</v>
      </c>
      <c r="R5" s="93">
        <v>355354426</v>
      </c>
      <c r="S5" s="95">
        <v>357203671</v>
      </c>
      <c r="T5" s="55">
        <f>H5+I5+J5+K5+L5+M5+N5+O5+P5+Q5+R5+S5</f>
        <v>4272267274</v>
      </c>
      <c r="U5" s="82"/>
      <c r="V5" s="82"/>
    </row>
    <row r="6" spans="1:22" x14ac:dyDescent="0.25">
      <c r="A6" s="29" t="s">
        <v>177</v>
      </c>
      <c r="B6" s="27" t="s">
        <v>178</v>
      </c>
      <c r="C6" s="28">
        <v>170000000</v>
      </c>
      <c r="D6" s="35">
        <v>10000000</v>
      </c>
      <c r="E6" s="12"/>
      <c r="F6" s="12"/>
      <c r="G6" s="44">
        <f t="shared" ref="G6:G60" si="2">+C6+D6-E6+F6</f>
        <v>180000000</v>
      </c>
      <c r="H6" s="49">
        <v>0</v>
      </c>
      <c r="I6" s="44">
        <v>0</v>
      </c>
      <c r="J6" s="44">
        <v>0</v>
      </c>
      <c r="K6" s="44"/>
      <c r="L6" s="44"/>
      <c r="M6" s="63">
        <v>2986516</v>
      </c>
      <c r="N6" s="54">
        <v>175022615</v>
      </c>
      <c r="O6" s="84"/>
      <c r="P6" s="86"/>
      <c r="Q6" s="87"/>
      <c r="R6" s="93"/>
      <c r="S6" s="95"/>
      <c r="T6" s="55">
        <f t="shared" ref="T6:T60" si="3">H6+I6+J6+K6+L6+M6+N6+O6+P6+Q6+R6+S6</f>
        <v>178009131</v>
      </c>
      <c r="U6" s="82"/>
      <c r="V6" s="82"/>
    </row>
    <row r="7" spans="1:22" x14ac:dyDescent="0.25">
      <c r="A7" s="29" t="s">
        <v>179</v>
      </c>
      <c r="B7" s="27" t="s">
        <v>180</v>
      </c>
      <c r="C7" s="28">
        <v>110000000</v>
      </c>
      <c r="D7" s="35">
        <v>13000000</v>
      </c>
      <c r="E7" s="12"/>
      <c r="F7" s="12"/>
      <c r="G7" s="44">
        <f t="shared" si="2"/>
        <v>123000000</v>
      </c>
      <c r="H7" s="48">
        <v>10835667</v>
      </c>
      <c r="I7" s="53">
        <v>4318722</v>
      </c>
      <c r="J7" s="54">
        <v>10328078</v>
      </c>
      <c r="K7" s="56">
        <v>9534397</v>
      </c>
      <c r="L7" s="61">
        <v>6388685</v>
      </c>
      <c r="M7" s="63">
        <v>13927605</v>
      </c>
      <c r="N7" s="54">
        <v>5026841</v>
      </c>
      <c r="O7" s="84">
        <v>15456420</v>
      </c>
      <c r="P7" s="86">
        <v>6903157</v>
      </c>
      <c r="Q7" s="87">
        <v>11013722</v>
      </c>
      <c r="R7" s="93">
        <v>6137333</v>
      </c>
      <c r="S7" s="95">
        <v>21438445</v>
      </c>
      <c r="T7" s="55">
        <f t="shared" si="3"/>
        <v>121309072</v>
      </c>
      <c r="U7" s="82"/>
      <c r="V7" s="82"/>
    </row>
    <row r="8" spans="1:22" ht="15.75" x14ac:dyDescent="0.3">
      <c r="A8" s="23" t="s">
        <v>181</v>
      </c>
      <c r="B8" s="24" t="s">
        <v>182</v>
      </c>
      <c r="C8" s="25">
        <f>C9+C10+C11+C12+C13+C14+C15+C16</f>
        <v>1115500000</v>
      </c>
      <c r="D8" s="25">
        <f t="shared" ref="D8:F8" si="4">D9+D10+D11+D12+D13+D14+D15+D16</f>
        <v>44000000</v>
      </c>
      <c r="E8" s="25">
        <f t="shared" si="4"/>
        <v>25000000</v>
      </c>
      <c r="F8" s="25">
        <f t="shared" si="4"/>
        <v>180548600</v>
      </c>
      <c r="G8" s="25">
        <f>G9+G10+G11+G12+G13+G14+G15+G16</f>
        <v>1315048600</v>
      </c>
      <c r="H8" s="47">
        <f t="shared" ref="H8:T8" si="5">H9+H10+H11+H12+H13+H14+H15+H16</f>
        <v>67556245</v>
      </c>
      <c r="I8" s="25">
        <f t="shared" si="5"/>
        <v>49269705</v>
      </c>
      <c r="J8" s="25">
        <f t="shared" si="5"/>
        <v>53411965</v>
      </c>
      <c r="K8" s="25">
        <f t="shared" si="5"/>
        <v>74065855</v>
      </c>
      <c r="L8" s="25">
        <f t="shared" si="5"/>
        <v>98096058</v>
      </c>
      <c r="M8" s="25">
        <f t="shared" si="5"/>
        <v>77791135</v>
      </c>
      <c r="N8" s="25">
        <f t="shared" si="5"/>
        <v>72313340</v>
      </c>
      <c r="O8" s="25">
        <f t="shared" si="5"/>
        <v>66883268</v>
      </c>
      <c r="P8" s="25">
        <f t="shared" si="5"/>
        <v>54213150</v>
      </c>
      <c r="Q8" s="25">
        <f t="shared" si="5"/>
        <v>69950652</v>
      </c>
      <c r="R8" s="25">
        <f t="shared" si="5"/>
        <v>66154849</v>
      </c>
      <c r="S8" s="25">
        <f t="shared" si="5"/>
        <v>476507712</v>
      </c>
      <c r="T8" s="25">
        <f t="shared" si="5"/>
        <v>1226213934</v>
      </c>
    </row>
    <row r="9" spans="1:22" x14ac:dyDescent="0.25">
      <c r="A9" s="26" t="s">
        <v>183</v>
      </c>
      <c r="B9" s="27" t="s">
        <v>184</v>
      </c>
      <c r="C9" s="28">
        <v>370000000</v>
      </c>
      <c r="D9" s="35">
        <v>30000000</v>
      </c>
      <c r="E9" s="12"/>
      <c r="F9" s="12"/>
      <c r="G9" s="44">
        <f t="shared" si="2"/>
        <v>400000000</v>
      </c>
      <c r="H9" s="49">
        <v>0</v>
      </c>
      <c r="I9" s="44">
        <v>0</v>
      </c>
      <c r="J9" s="44">
        <v>0</v>
      </c>
      <c r="K9" s="44"/>
      <c r="L9" s="44"/>
      <c r="M9" s="44"/>
      <c r="N9" s="44"/>
      <c r="O9" s="44"/>
      <c r="P9" s="44"/>
      <c r="Q9" s="44"/>
      <c r="R9" s="44"/>
      <c r="S9" s="44">
        <v>390077089</v>
      </c>
      <c r="T9" s="55">
        <f t="shared" si="3"/>
        <v>390077089</v>
      </c>
      <c r="U9" s="82"/>
      <c r="V9" s="82"/>
    </row>
    <row r="10" spans="1:22" x14ac:dyDescent="0.25">
      <c r="A10" s="26" t="s">
        <v>185</v>
      </c>
      <c r="B10" s="27" t="s">
        <v>186</v>
      </c>
      <c r="C10" s="28">
        <v>220000000</v>
      </c>
      <c r="D10" s="35">
        <v>13000000</v>
      </c>
      <c r="E10" s="12"/>
      <c r="F10" s="12"/>
      <c r="G10" s="44">
        <f t="shared" si="2"/>
        <v>233000000</v>
      </c>
      <c r="H10" s="48">
        <v>23821371</v>
      </c>
      <c r="I10" s="53">
        <v>22732753</v>
      </c>
      <c r="J10" s="54">
        <v>10450516</v>
      </c>
      <c r="K10" s="56">
        <v>14956355</v>
      </c>
      <c r="L10" s="61">
        <v>24747005</v>
      </c>
      <c r="M10" s="63">
        <v>25427496</v>
      </c>
      <c r="N10" s="54">
        <v>18519571</v>
      </c>
      <c r="O10" s="84">
        <v>19054012</v>
      </c>
      <c r="P10" s="86">
        <v>14280211</v>
      </c>
      <c r="Q10" s="87">
        <v>15089961</v>
      </c>
      <c r="R10" s="93">
        <v>14719377</v>
      </c>
      <c r="S10" s="95">
        <v>28865678</v>
      </c>
      <c r="T10" s="55">
        <f t="shared" si="3"/>
        <v>232664306</v>
      </c>
      <c r="U10" s="82"/>
      <c r="V10" s="82"/>
    </row>
    <row r="11" spans="1:22" x14ac:dyDescent="0.25">
      <c r="A11" s="26" t="s">
        <v>187</v>
      </c>
      <c r="B11" s="27" t="s">
        <v>188</v>
      </c>
      <c r="C11" s="28">
        <v>12000000</v>
      </c>
      <c r="D11" s="35"/>
      <c r="E11" s="12"/>
      <c r="F11" s="12"/>
      <c r="G11" s="44">
        <f t="shared" si="2"/>
        <v>12000000</v>
      </c>
      <c r="H11" s="49">
        <v>3084802</v>
      </c>
      <c r="I11" s="44">
        <v>0</v>
      </c>
      <c r="J11" s="44">
        <v>0</v>
      </c>
      <c r="K11" s="44"/>
      <c r="L11" s="44"/>
      <c r="M11" s="44"/>
      <c r="N11" s="44"/>
      <c r="O11" s="85"/>
      <c r="P11" s="86"/>
      <c r="Q11" s="87"/>
      <c r="R11" s="93"/>
      <c r="S11" s="95"/>
      <c r="T11" s="55">
        <f t="shared" si="3"/>
        <v>3084802</v>
      </c>
      <c r="U11" s="82"/>
      <c r="V11" s="82"/>
    </row>
    <row r="12" spans="1:22" x14ac:dyDescent="0.25">
      <c r="A12" s="30" t="s">
        <v>189</v>
      </c>
      <c r="B12" s="27" t="s">
        <v>190</v>
      </c>
      <c r="C12" s="28">
        <v>2000000</v>
      </c>
      <c r="D12" s="35"/>
      <c r="E12" s="12"/>
      <c r="F12" s="12"/>
      <c r="G12" s="44">
        <f t="shared" si="2"/>
        <v>2000000</v>
      </c>
      <c r="H12" s="48">
        <v>135648</v>
      </c>
      <c r="I12" s="53">
        <v>135648</v>
      </c>
      <c r="J12" s="54">
        <v>135648</v>
      </c>
      <c r="K12" s="56">
        <v>145498</v>
      </c>
      <c r="L12" s="61">
        <v>175048</v>
      </c>
      <c r="M12" s="63">
        <v>89724</v>
      </c>
      <c r="N12" s="54">
        <v>92149</v>
      </c>
      <c r="O12" s="84">
        <v>145498</v>
      </c>
      <c r="P12" s="86">
        <v>145498</v>
      </c>
      <c r="Q12" s="87">
        <v>145498</v>
      </c>
      <c r="R12" s="93">
        <v>145498</v>
      </c>
      <c r="S12" s="95">
        <v>145498</v>
      </c>
      <c r="T12" s="55">
        <f t="shared" si="3"/>
        <v>1636853</v>
      </c>
      <c r="U12" s="82"/>
      <c r="V12" s="82"/>
    </row>
    <row r="13" spans="1:22" x14ac:dyDescent="0.25">
      <c r="A13" s="29" t="s">
        <v>191</v>
      </c>
      <c r="B13" s="27" t="s">
        <v>192</v>
      </c>
      <c r="C13" s="28">
        <v>27500000</v>
      </c>
      <c r="D13" s="35">
        <v>1000000</v>
      </c>
      <c r="E13" s="12"/>
      <c r="F13" s="12"/>
      <c r="G13" s="44">
        <f t="shared" si="2"/>
        <v>28500000</v>
      </c>
      <c r="H13" s="48">
        <v>2504344</v>
      </c>
      <c r="I13" s="53">
        <v>2835627</v>
      </c>
      <c r="J13" s="54">
        <v>1299756</v>
      </c>
      <c r="K13" s="56">
        <v>1860158</v>
      </c>
      <c r="L13" s="61">
        <v>3097569</v>
      </c>
      <c r="M13" s="63">
        <v>2850289</v>
      </c>
      <c r="N13" s="54">
        <v>2339385</v>
      </c>
      <c r="O13" s="84">
        <v>2376776</v>
      </c>
      <c r="P13" s="86">
        <v>1780733</v>
      </c>
      <c r="Q13" s="87">
        <v>1900436</v>
      </c>
      <c r="R13" s="93">
        <v>1847895</v>
      </c>
      <c r="S13" s="95">
        <v>3602043</v>
      </c>
      <c r="T13" s="55">
        <f t="shared" si="3"/>
        <v>28295011</v>
      </c>
      <c r="U13" s="82"/>
      <c r="V13" s="82"/>
    </row>
    <row r="14" spans="1:22" x14ac:dyDescent="0.25">
      <c r="A14" s="26" t="s">
        <v>193</v>
      </c>
      <c r="B14" s="27" t="s">
        <v>194</v>
      </c>
      <c r="C14" s="28">
        <v>3000000</v>
      </c>
      <c r="D14" s="35"/>
      <c r="E14" s="12"/>
      <c r="F14" s="12"/>
      <c r="G14" s="44">
        <f t="shared" si="2"/>
        <v>3000000</v>
      </c>
      <c r="H14" s="48">
        <v>234344</v>
      </c>
      <c r="I14" s="53">
        <v>234344</v>
      </c>
      <c r="J14" s="54">
        <v>234344</v>
      </c>
      <c r="K14" s="56">
        <v>234344</v>
      </c>
      <c r="L14" s="61">
        <v>234344</v>
      </c>
      <c r="M14" s="63">
        <v>144512</v>
      </c>
      <c r="N14" s="54">
        <v>148418</v>
      </c>
      <c r="O14" s="84">
        <v>234344</v>
      </c>
      <c r="P14" s="86">
        <v>234344</v>
      </c>
      <c r="Q14" s="87">
        <v>234344</v>
      </c>
      <c r="R14" s="93">
        <v>234344</v>
      </c>
      <c r="S14" s="95">
        <v>234344</v>
      </c>
      <c r="T14" s="55">
        <f t="shared" si="3"/>
        <v>2636370</v>
      </c>
      <c r="U14" s="82"/>
      <c r="V14" s="82"/>
    </row>
    <row r="15" spans="1:22" x14ac:dyDescent="0.25">
      <c r="A15" s="29" t="s">
        <v>195</v>
      </c>
      <c r="B15" s="27" t="s">
        <v>196</v>
      </c>
      <c r="C15" s="28">
        <v>30000000</v>
      </c>
      <c r="D15" s="35"/>
      <c r="E15" s="35">
        <v>25000000</v>
      </c>
      <c r="F15" s="12"/>
      <c r="G15" s="44">
        <f t="shared" si="2"/>
        <v>5000000</v>
      </c>
      <c r="H15" s="49">
        <v>0</v>
      </c>
      <c r="I15" s="44">
        <v>0</v>
      </c>
      <c r="J15" s="44">
        <v>0</v>
      </c>
      <c r="K15" s="44"/>
      <c r="L15" s="44"/>
      <c r="M15" s="44"/>
      <c r="N15" s="44"/>
      <c r="O15" s="44"/>
      <c r="P15" s="86"/>
      <c r="Q15" s="87"/>
      <c r="R15" s="93"/>
      <c r="S15" s="95"/>
      <c r="T15" s="55">
        <f t="shared" si="3"/>
        <v>0</v>
      </c>
      <c r="U15" s="82"/>
      <c r="V15" s="82"/>
    </row>
    <row r="16" spans="1:22" x14ac:dyDescent="0.25">
      <c r="A16" s="29" t="s">
        <v>197</v>
      </c>
      <c r="B16" s="27" t="s">
        <v>198</v>
      </c>
      <c r="C16" s="28">
        <v>451000000</v>
      </c>
      <c r="D16" s="35"/>
      <c r="E16" s="12"/>
      <c r="F16" s="35">
        <v>180548600</v>
      </c>
      <c r="G16" s="44">
        <f t="shared" si="2"/>
        <v>631548600</v>
      </c>
      <c r="H16" s="48">
        <v>37775736</v>
      </c>
      <c r="I16" s="53">
        <v>23331333</v>
      </c>
      <c r="J16" s="54">
        <v>41291701</v>
      </c>
      <c r="K16" s="56">
        <v>56869500</v>
      </c>
      <c r="L16" s="61">
        <v>69842092</v>
      </c>
      <c r="M16" s="63">
        <v>49279114</v>
      </c>
      <c r="N16" s="54">
        <v>51213817</v>
      </c>
      <c r="O16" s="84">
        <v>45072638</v>
      </c>
      <c r="P16" s="86">
        <v>37772364</v>
      </c>
      <c r="Q16" s="87">
        <v>52580413</v>
      </c>
      <c r="R16" s="93">
        <v>49207735</v>
      </c>
      <c r="S16" s="95">
        <v>53583060</v>
      </c>
      <c r="T16" s="55">
        <f t="shared" si="3"/>
        <v>567819503</v>
      </c>
      <c r="U16" s="82"/>
      <c r="V16" s="82"/>
    </row>
    <row r="17" spans="1:22" ht="15.75" x14ac:dyDescent="0.3">
      <c r="A17" s="24" t="s">
        <v>199</v>
      </c>
      <c r="B17" s="24" t="s">
        <v>200</v>
      </c>
      <c r="C17" s="45">
        <f>SUM(C18:C20)</f>
        <v>271000000</v>
      </c>
      <c r="D17" s="45">
        <f t="shared" ref="D17:F17" si="6">SUM(D18:D20)</f>
        <v>111000000</v>
      </c>
      <c r="E17" s="45">
        <f t="shared" si="6"/>
        <v>105000000</v>
      </c>
      <c r="F17" s="45">
        <f t="shared" si="6"/>
        <v>0</v>
      </c>
      <c r="G17" s="45">
        <f>SUM(G18:G20)</f>
        <v>277000000</v>
      </c>
      <c r="H17" s="50">
        <f t="shared" ref="H17:T17" si="7">SUM(H18:H20)</f>
        <v>18400000</v>
      </c>
      <c r="I17" s="45">
        <f t="shared" si="7"/>
        <v>7200000</v>
      </c>
      <c r="J17" s="45">
        <f t="shared" si="7"/>
        <v>0</v>
      </c>
      <c r="K17" s="45">
        <f t="shared" si="7"/>
        <v>0</v>
      </c>
      <c r="L17" s="45">
        <f t="shared" si="7"/>
        <v>0</v>
      </c>
      <c r="M17" s="45">
        <f t="shared" si="7"/>
        <v>3600000</v>
      </c>
      <c r="N17" s="45">
        <f t="shared" si="7"/>
        <v>4234356</v>
      </c>
      <c r="O17" s="45">
        <f t="shared" si="7"/>
        <v>6000000</v>
      </c>
      <c r="P17" s="45">
        <f t="shared" si="7"/>
        <v>96651534</v>
      </c>
      <c r="Q17" s="45">
        <f t="shared" si="7"/>
        <v>36400000</v>
      </c>
      <c r="R17" s="45">
        <f t="shared" si="7"/>
        <v>14900000</v>
      </c>
      <c r="S17" s="45">
        <f t="shared" si="7"/>
        <v>19287362</v>
      </c>
      <c r="T17" s="45">
        <f t="shared" si="7"/>
        <v>206673252</v>
      </c>
      <c r="U17" s="82"/>
      <c r="V17" s="82"/>
    </row>
    <row r="18" spans="1:22" x14ac:dyDescent="0.25">
      <c r="A18" s="31" t="s">
        <v>201</v>
      </c>
      <c r="B18" s="27" t="s">
        <v>202</v>
      </c>
      <c r="C18" s="28">
        <v>100000000</v>
      </c>
      <c r="D18" s="35">
        <f>86000000+25000000</f>
        <v>111000000</v>
      </c>
      <c r="E18" s="12"/>
      <c r="F18" s="12"/>
      <c r="G18" s="44">
        <f t="shared" si="2"/>
        <v>211000000</v>
      </c>
      <c r="H18" s="48">
        <v>18400000</v>
      </c>
      <c r="I18" s="53">
        <v>7200000</v>
      </c>
      <c r="J18" s="54">
        <v>0</v>
      </c>
      <c r="K18" s="56"/>
      <c r="L18" s="61"/>
      <c r="M18" s="63">
        <v>3600000</v>
      </c>
      <c r="N18" s="54"/>
      <c r="O18" s="84">
        <v>6000000</v>
      </c>
      <c r="P18" s="86">
        <v>90300000</v>
      </c>
      <c r="Q18" s="87">
        <v>36400000</v>
      </c>
      <c r="R18" s="93">
        <v>14900000</v>
      </c>
      <c r="S18" s="95">
        <v>18009997</v>
      </c>
      <c r="T18" s="55">
        <f t="shared" si="3"/>
        <v>194809997</v>
      </c>
      <c r="U18" s="82"/>
      <c r="V18" s="82"/>
    </row>
    <row r="19" spans="1:22" x14ac:dyDescent="0.25">
      <c r="A19" s="26" t="s">
        <v>203</v>
      </c>
      <c r="B19" s="27" t="s">
        <v>204</v>
      </c>
      <c r="C19" s="28">
        <v>170000000</v>
      </c>
      <c r="D19" s="35"/>
      <c r="E19" s="35">
        <v>105000000</v>
      </c>
      <c r="F19" s="12"/>
      <c r="G19" s="44">
        <f t="shared" si="2"/>
        <v>65000000</v>
      </c>
      <c r="H19" s="49">
        <v>0</v>
      </c>
      <c r="I19" s="44">
        <v>0</v>
      </c>
      <c r="J19" s="44">
        <v>0</v>
      </c>
      <c r="K19" s="44"/>
      <c r="L19" s="44"/>
      <c r="M19" s="44"/>
      <c r="N19" s="54">
        <v>4234356</v>
      </c>
      <c r="O19" s="84"/>
      <c r="P19" s="86">
        <v>6351534</v>
      </c>
      <c r="Q19" s="87"/>
      <c r="R19" s="93"/>
      <c r="S19" s="95">
        <v>1277365</v>
      </c>
      <c r="T19" s="55">
        <f t="shared" si="3"/>
        <v>11863255</v>
      </c>
      <c r="U19" s="82"/>
      <c r="V19" s="82"/>
    </row>
    <row r="20" spans="1:22" x14ac:dyDescent="0.25">
      <c r="A20" s="29" t="s">
        <v>205</v>
      </c>
      <c r="B20" s="27" t="s">
        <v>206</v>
      </c>
      <c r="C20" s="28">
        <v>1000000</v>
      </c>
      <c r="D20" s="35"/>
      <c r="E20" s="12"/>
      <c r="F20" s="12"/>
      <c r="G20" s="44">
        <f t="shared" si="2"/>
        <v>1000000</v>
      </c>
      <c r="H20" s="49">
        <v>0</v>
      </c>
      <c r="I20" s="44">
        <v>0</v>
      </c>
      <c r="J20" s="44">
        <v>0</v>
      </c>
      <c r="K20" s="44"/>
      <c r="L20" s="44"/>
      <c r="M20" s="44"/>
      <c r="N20" s="44"/>
      <c r="O20" s="44"/>
      <c r="P20" s="44"/>
      <c r="Q20" s="44"/>
      <c r="R20" s="44"/>
      <c r="S20" s="44"/>
      <c r="T20" s="55">
        <f t="shared" si="3"/>
        <v>0</v>
      </c>
      <c r="U20" s="82"/>
      <c r="V20" s="82"/>
    </row>
    <row r="21" spans="1:22" ht="15.75" x14ac:dyDescent="0.3">
      <c r="A21" s="24" t="s">
        <v>207</v>
      </c>
      <c r="B21" s="24" t="s">
        <v>208</v>
      </c>
      <c r="C21" s="45">
        <f>C22+C23+C24+C25+C26+C27+C28+C29</f>
        <v>1615800000</v>
      </c>
      <c r="D21" s="45">
        <f t="shared" ref="D21:F21" si="8">D22+D23+D24+D25+D26+D27+D28+D29</f>
        <v>272500000</v>
      </c>
      <c r="E21" s="45">
        <f t="shared" si="8"/>
        <v>200000000</v>
      </c>
      <c r="F21" s="45">
        <f t="shared" si="8"/>
        <v>157177489</v>
      </c>
      <c r="G21" s="45">
        <f>G22+G23+G24+G25+G26+G27+G28+G29</f>
        <v>1845477489</v>
      </c>
      <c r="H21" s="50">
        <f t="shared" ref="H21:T21" si="9">H22+H23+H25+H24+H26+H27+H28+H29</f>
        <v>129688404</v>
      </c>
      <c r="I21" s="45">
        <f t="shared" si="9"/>
        <v>123177696</v>
      </c>
      <c r="J21" s="45">
        <f t="shared" si="9"/>
        <v>115516796</v>
      </c>
      <c r="K21" s="45">
        <f t="shared" si="9"/>
        <v>117849600</v>
      </c>
      <c r="L21" s="45">
        <f t="shared" si="9"/>
        <v>141824788</v>
      </c>
      <c r="M21" s="45">
        <f t="shared" si="9"/>
        <v>136879694</v>
      </c>
      <c r="N21" s="45">
        <f t="shared" si="9"/>
        <v>147562806</v>
      </c>
      <c r="O21" s="45">
        <f t="shared" si="9"/>
        <v>153345404</v>
      </c>
      <c r="P21" s="45">
        <f t="shared" si="9"/>
        <v>225591404</v>
      </c>
      <c r="Q21" s="45">
        <f t="shared" si="9"/>
        <v>133716433</v>
      </c>
      <c r="R21" s="45">
        <f t="shared" si="9"/>
        <v>142069844</v>
      </c>
      <c r="S21" s="45">
        <f t="shared" si="9"/>
        <v>138424228</v>
      </c>
      <c r="T21" s="45">
        <f t="shared" si="9"/>
        <v>1705647097</v>
      </c>
      <c r="U21" s="82"/>
      <c r="V21" s="82"/>
    </row>
    <row r="22" spans="1:22" x14ac:dyDescent="0.25">
      <c r="A22" s="32" t="s">
        <v>209</v>
      </c>
      <c r="B22" s="33" t="s">
        <v>210</v>
      </c>
      <c r="C22" s="28">
        <v>393000000</v>
      </c>
      <c r="D22" s="35">
        <v>200000000</v>
      </c>
      <c r="E22" s="12"/>
      <c r="F22" s="35">
        <v>82177489</v>
      </c>
      <c r="G22" s="44">
        <f t="shared" si="2"/>
        <v>675177489</v>
      </c>
      <c r="H22" s="48">
        <v>49704202</v>
      </c>
      <c r="I22" s="53">
        <v>47220298</v>
      </c>
      <c r="J22" s="54">
        <v>43958998</v>
      </c>
      <c r="K22" s="56">
        <v>44672800</v>
      </c>
      <c r="L22" s="61">
        <v>55218444</v>
      </c>
      <c r="M22" s="63">
        <v>53406897</v>
      </c>
      <c r="N22" s="54">
        <v>58073253</v>
      </c>
      <c r="O22" s="84">
        <v>53079802</v>
      </c>
      <c r="P22" s="86">
        <v>94685902</v>
      </c>
      <c r="Q22" s="86">
        <v>51641711</v>
      </c>
      <c r="R22" s="93">
        <v>54586622</v>
      </c>
      <c r="S22" s="95">
        <v>53347964</v>
      </c>
      <c r="T22" s="55">
        <f t="shared" si="3"/>
        <v>659596893</v>
      </c>
      <c r="U22" s="82"/>
      <c r="V22" s="82"/>
    </row>
    <row r="23" spans="1:22" x14ac:dyDescent="0.25">
      <c r="A23" s="32" t="s">
        <v>211</v>
      </c>
      <c r="B23" s="27" t="s">
        <v>212</v>
      </c>
      <c r="C23" s="28">
        <v>642000000</v>
      </c>
      <c r="D23" s="35"/>
      <c r="E23" s="35">
        <v>200000000</v>
      </c>
      <c r="F23" s="35">
        <v>75000000</v>
      </c>
      <c r="G23" s="44">
        <f t="shared" si="2"/>
        <v>517000000</v>
      </c>
      <c r="H23" s="48">
        <v>33960102</v>
      </c>
      <c r="I23" s="53">
        <v>32937098</v>
      </c>
      <c r="J23" s="54">
        <v>30566398</v>
      </c>
      <c r="K23" s="56">
        <v>30063000</v>
      </c>
      <c r="L23" s="61">
        <v>36900144</v>
      </c>
      <c r="M23" s="63">
        <v>36768397</v>
      </c>
      <c r="N23" s="54">
        <v>40134153</v>
      </c>
      <c r="O23" s="84">
        <v>35844102</v>
      </c>
      <c r="P23" s="86">
        <v>81368902</v>
      </c>
      <c r="Q23" s="86">
        <v>34244422</v>
      </c>
      <c r="R23" s="93">
        <v>36676622</v>
      </c>
      <c r="S23" s="95">
        <v>36102364</v>
      </c>
      <c r="T23" s="55">
        <f t="shared" si="3"/>
        <v>465565704</v>
      </c>
      <c r="U23" s="82"/>
      <c r="V23" s="82"/>
    </row>
    <row r="24" spans="1:22" x14ac:dyDescent="0.25">
      <c r="A24" s="34" t="s">
        <v>213</v>
      </c>
      <c r="B24" s="27" t="s">
        <v>214</v>
      </c>
      <c r="C24" s="28">
        <f>65000000+45000000</f>
        <v>110000000</v>
      </c>
      <c r="D24" s="35">
        <v>10000000</v>
      </c>
      <c r="E24" s="35"/>
      <c r="F24" s="12"/>
      <c r="G24" s="44">
        <f t="shared" si="2"/>
        <v>120000000</v>
      </c>
      <c r="H24" s="48">
        <v>9132500</v>
      </c>
      <c r="I24" s="53">
        <v>8977100</v>
      </c>
      <c r="J24" s="54">
        <v>7962400</v>
      </c>
      <c r="K24" s="56">
        <v>9328000</v>
      </c>
      <c r="L24" s="61">
        <v>10432000</v>
      </c>
      <c r="M24" s="63">
        <v>9862500</v>
      </c>
      <c r="N24" s="54">
        <v>10458300</v>
      </c>
      <c r="O24" s="84">
        <v>10135700</v>
      </c>
      <c r="P24" s="86">
        <v>10488100</v>
      </c>
      <c r="Q24" s="86">
        <v>10346500</v>
      </c>
      <c r="R24" s="93">
        <v>11635700</v>
      </c>
      <c r="S24" s="95">
        <v>10601200</v>
      </c>
      <c r="T24" s="55">
        <f t="shared" si="3"/>
        <v>119360000</v>
      </c>
      <c r="U24" s="82"/>
      <c r="V24" s="82"/>
    </row>
    <row r="25" spans="1:22" x14ac:dyDescent="0.25">
      <c r="A25" s="29" t="s">
        <v>215</v>
      </c>
      <c r="B25" s="27" t="s">
        <v>216</v>
      </c>
      <c r="C25" s="35">
        <v>165000000</v>
      </c>
      <c r="D25" s="35">
        <v>45000000</v>
      </c>
      <c r="E25" s="35"/>
      <c r="F25" s="12"/>
      <c r="G25" s="44">
        <f t="shared" si="2"/>
        <v>210000000</v>
      </c>
      <c r="H25" s="48">
        <v>16394800</v>
      </c>
      <c r="I25" s="53">
        <v>15128600</v>
      </c>
      <c r="J25" s="54">
        <v>14678100</v>
      </c>
      <c r="K25" s="56">
        <v>15014500</v>
      </c>
      <c r="L25" s="61">
        <v>17453300</v>
      </c>
      <c r="M25" s="63">
        <v>16372300</v>
      </c>
      <c r="N25" s="54">
        <v>17285700</v>
      </c>
      <c r="O25" s="84">
        <v>24124400</v>
      </c>
      <c r="P25" s="86">
        <v>17353000</v>
      </c>
      <c r="Q25" s="86">
        <v>16657500</v>
      </c>
      <c r="R25" s="93">
        <v>17407300</v>
      </c>
      <c r="S25" s="95">
        <v>17052300</v>
      </c>
      <c r="T25" s="55">
        <f t="shared" si="3"/>
        <v>204921800</v>
      </c>
      <c r="U25" s="82"/>
      <c r="V25" s="82"/>
    </row>
    <row r="26" spans="1:22" x14ac:dyDescent="0.25">
      <c r="A26" s="29" t="s">
        <v>217</v>
      </c>
      <c r="B26" s="27" t="s">
        <v>218</v>
      </c>
      <c r="C26" s="35">
        <v>141900000</v>
      </c>
      <c r="D26" s="35">
        <v>17500000</v>
      </c>
      <c r="E26" s="35"/>
      <c r="F26" s="12"/>
      <c r="G26" s="44">
        <f t="shared" si="2"/>
        <v>159400000</v>
      </c>
      <c r="H26" s="48">
        <v>12297400</v>
      </c>
      <c r="I26" s="53">
        <v>11347900</v>
      </c>
      <c r="J26" s="54">
        <v>11009600</v>
      </c>
      <c r="K26" s="56">
        <v>11262500</v>
      </c>
      <c r="L26" s="61">
        <v>13091600</v>
      </c>
      <c r="M26" s="63">
        <v>12280600</v>
      </c>
      <c r="N26" s="54">
        <v>12965800</v>
      </c>
      <c r="O26" s="84">
        <v>18096000</v>
      </c>
      <c r="P26" s="86">
        <v>13015900</v>
      </c>
      <c r="Q26" s="86">
        <v>12494500</v>
      </c>
      <c r="R26" s="93">
        <v>13057100</v>
      </c>
      <c r="S26" s="95">
        <v>12790900</v>
      </c>
      <c r="T26" s="55">
        <f t="shared" si="3"/>
        <v>153709800</v>
      </c>
      <c r="U26" s="82"/>
      <c r="V26" s="82"/>
    </row>
    <row r="27" spans="1:22" x14ac:dyDescent="0.25">
      <c r="A27" s="29" t="s">
        <v>219</v>
      </c>
      <c r="B27" s="27" t="s">
        <v>220</v>
      </c>
      <c r="C27" s="35">
        <v>58300000</v>
      </c>
      <c r="D27" s="35"/>
      <c r="E27" s="35"/>
      <c r="F27" s="12"/>
      <c r="G27" s="44">
        <f t="shared" si="2"/>
        <v>58300000</v>
      </c>
      <c r="H27" s="48">
        <v>4099800</v>
      </c>
      <c r="I27" s="53">
        <v>3783350</v>
      </c>
      <c r="J27" s="54">
        <v>3670650</v>
      </c>
      <c r="K27" s="56">
        <v>3754400</v>
      </c>
      <c r="L27" s="61">
        <v>4364650</v>
      </c>
      <c r="M27" s="63">
        <v>4094500</v>
      </c>
      <c r="N27" s="54">
        <v>4322800</v>
      </c>
      <c r="O27" s="84">
        <v>6032700</v>
      </c>
      <c r="P27" s="86">
        <v>4339800</v>
      </c>
      <c r="Q27" s="86">
        <v>4165900</v>
      </c>
      <c r="R27" s="93">
        <v>4353250</v>
      </c>
      <c r="S27" s="95">
        <v>4264750</v>
      </c>
      <c r="T27" s="55">
        <f t="shared" si="3"/>
        <v>51246550</v>
      </c>
      <c r="U27" s="82"/>
      <c r="V27" s="82"/>
    </row>
    <row r="28" spans="1:22" x14ac:dyDescent="0.25">
      <c r="A28" s="29" t="s">
        <v>221</v>
      </c>
      <c r="B28" s="27" t="s">
        <v>222</v>
      </c>
      <c r="C28" s="35">
        <v>58300000</v>
      </c>
      <c r="D28" s="35"/>
      <c r="E28" s="12"/>
      <c r="F28" s="12"/>
      <c r="G28" s="44">
        <f t="shared" si="2"/>
        <v>58300000</v>
      </c>
      <c r="H28" s="48">
        <v>2049800</v>
      </c>
      <c r="I28" s="53">
        <v>1891675</v>
      </c>
      <c r="J28" s="54">
        <v>1835325</v>
      </c>
      <c r="K28" s="56">
        <v>1877200</v>
      </c>
      <c r="L28" s="61">
        <v>2182325</v>
      </c>
      <c r="M28" s="63">
        <v>2047250</v>
      </c>
      <c r="N28" s="54">
        <v>2161400</v>
      </c>
      <c r="O28" s="84">
        <v>3016350</v>
      </c>
      <c r="P28" s="86">
        <v>2169900</v>
      </c>
      <c r="Q28" s="86">
        <v>2082950</v>
      </c>
      <c r="R28" s="93">
        <v>2176625</v>
      </c>
      <c r="S28" s="95">
        <v>2132375</v>
      </c>
      <c r="T28" s="55">
        <f t="shared" si="3"/>
        <v>25623175</v>
      </c>
      <c r="U28" s="82"/>
      <c r="V28" s="82"/>
    </row>
    <row r="29" spans="1:22" x14ac:dyDescent="0.25">
      <c r="A29" s="29" t="s">
        <v>223</v>
      </c>
      <c r="B29" s="27" t="s">
        <v>224</v>
      </c>
      <c r="C29" s="35">
        <v>47300000</v>
      </c>
      <c r="D29" s="35"/>
      <c r="E29" s="12"/>
      <c r="F29" s="12"/>
      <c r="G29" s="44">
        <f t="shared" si="2"/>
        <v>47300000</v>
      </c>
      <c r="H29" s="48">
        <v>2049800</v>
      </c>
      <c r="I29" s="53">
        <v>1891675</v>
      </c>
      <c r="J29" s="54">
        <v>1835325</v>
      </c>
      <c r="K29" s="56">
        <v>1877200</v>
      </c>
      <c r="L29" s="61">
        <v>2182325</v>
      </c>
      <c r="M29" s="63">
        <v>2047250</v>
      </c>
      <c r="N29" s="54">
        <v>2161400</v>
      </c>
      <c r="O29" s="84">
        <v>3016350</v>
      </c>
      <c r="P29" s="86">
        <v>2169900</v>
      </c>
      <c r="Q29" s="86">
        <v>2082950</v>
      </c>
      <c r="R29" s="93">
        <v>2176625</v>
      </c>
      <c r="S29" s="95">
        <v>2132375</v>
      </c>
      <c r="T29" s="55">
        <f t="shared" si="3"/>
        <v>25623175</v>
      </c>
      <c r="U29" s="82"/>
      <c r="V29" s="82"/>
    </row>
    <row r="30" spans="1:22" ht="15.75" x14ac:dyDescent="0.3">
      <c r="A30" s="23" t="s">
        <v>225</v>
      </c>
      <c r="B30" s="24" t="s">
        <v>226</v>
      </c>
      <c r="C30" s="25">
        <f>C31+C32</f>
        <v>833000000</v>
      </c>
      <c r="D30" s="25">
        <f t="shared" ref="D30:F30" si="10">D31+D32</f>
        <v>0</v>
      </c>
      <c r="E30" s="25">
        <f t="shared" si="10"/>
        <v>64500000</v>
      </c>
      <c r="F30" s="25">
        <f t="shared" si="10"/>
        <v>0</v>
      </c>
      <c r="G30" s="25">
        <f>G31+G32</f>
        <v>768500000</v>
      </c>
      <c r="H30" s="47">
        <f t="shared" ref="H30:T30" si="11">H31+H32</f>
        <v>120027057</v>
      </c>
      <c r="I30" s="25">
        <f t="shared" si="11"/>
        <v>236016123</v>
      </c>
      <c r="J30" s="25">
        <f t="shared" si="11"/>
        <v>128000000</v>
      </c>
      <c r="K30" s="25">
        <f t="shared" si="11"/>
        <v>0</v>
      </c>
      <c r="L30" s="25">
        <f t="shared" si="11"/>
        <v>0</v>
      </c>
      <c r="M30" s="25">
        <f t="shared" si="11"/>
        <v>144564780</v>
      </c>
      <c r="N30" s="25">
        <f t="shared" si="11"/>
        <v>45910400</v>
      </c>
      <c r="O30" s="25">
        <f t="shared" si="11"/>
        <v>0</v>
      </c>
      <c r="P30" s="25"/>
      <c r="Q30" s="25"/>
      <c r="R30" s="25"/>
      <c r="S30" s="25"/>
      <c r="T30" s="25">
        <f t="shared" si="11"/>
        <v>674518360</v>
      </c>
      <c r="U30" s="82"/>
      <c r="V30" s="82"/>
    </row>
    <row r="31" spans="1:22" x14ac:dyDescent="0.25">
      <c r="A31" s="29" t="s">
        <v>227</v>
      </c>
      <c r="B31" s="27" t="s">
        <v>228</v>
      </c>
      <c r="C31" s="28">
        <v>800000000</v>
      </c>
      <c r="D31" s="35"/>
      <c r="E31" s="35">
        <v>64500000</v>
      </c>
      <c r="F31" s="12"/>
      <c r="G31" s="44">
        <f t="shared" si="2"/>
        <v>735500000</v>
      </c>
      <c r="H31" s="48">
        <v>91832945</v>
      </c>
      <c r="I31" s="53">
        <v>236016123</v>
      </c>
      <c r="J31" s="54">
        <v>128000000</v>
      </c>
      <c r="K31" s="56"/>
      <c r="L31" s="61"/>
      <c r="M31" s="63">
        <v>144564780</v>
      </c>
      <c r="N31" s="54">
        <v>45910400</v>
      </c>
      <c r="O31" s="84"/>
      <c r="P31" s="86"/>
      <c r="Q31" s="87"/>
      <c r="R31" s="93"/>
      <c r="S31" s="95"/>
      <c r="T31" s="55">
        <f t="shared" si="3"/>
        <v>646324248</v>
      </c>
      <c r="U31" s="82"/>
      <c r="V31" s="82"/>
    </row>
    <row r="32" spans="1:22" x14ac:dyDescent="0.25">
      <c r="A32" s="29" t="s">
        <v>229</v>
      </c>
      <c r="B32" s="27" t="s">
        <v>230</v>
      </c>
      <c r="C32" s="35">
        <v>33000000</v>
      </c>
      <c r="D32" s="35"/>
      <c r="E32" s="12"/>
      <c r="F32" s="12"/>
      <c r="G32" s="44">
        <f t="shared" si="2"/>
        <v>33000000</v>
      </c>
      <c r="H32" s="48">
        <v>28194112</v>
      </c>
      <c r="I32" s="53">
        <v>0</v>
      </c>
      <c r="J32" s="54">
        <v>0</v>
      </c>
      <c r="K32" s="56"/>
      <c r="L32" s="61"/>
      <c r="M32" s="63"/>
      <c r="N32" s="54"/>
      <c r="O32" s="84"/>
      <c r="P32" s="86"/>
      <c r="Q32" s="87"/>
      <c r="R32" s="93"/>
      <c r="S32" s="95"/>
      <c r="T32" s="55">
        <f t="shared" si="3"/>
        <v>28194112</v>
      </c>
      <c r="U32" s="82"/>
      <c r="V32" s="82"/>
    </row>
    <row r="33" spans="1:22" ht="15.75" x14ac:dyDescent="0.3">
      <c r="A33" s="36" t="s">
        <v>231</v>
      </c>
      <c r="B33" s="37" t="s">
        <v>232</v>
      </c>
      <c r="C33" s="25">
        <f>SUM(C34:C38)</f>
        <v>483450000</v>
      </c>
      <c r="D33" s="25">
        <f t="shared" ref="D33:F33" si="12">SUM(D34:D38)</f>
        <v>14000000</v>
      </c>
      <c r="E33" s="25">
        <f t="shared" si="12"/>
        <v>0</v>
      </c>
      <c r="F33" s="25">
        <f t="shared" si="12"/>
        <v>0</v>
      </c>
      <c r="G33" s="25">
        <f>SUM(G34:G38)</f>
        <v>497450000</v>
      </c>
      <c r="H33" s="47">
        <f t="shared" ref="H33:T33" si="13">SUM(H34:H38)</f>
        <v>0</v>
      </c>
      <c r="I33" s="25">
        <f t="shared" si="13"/>
        <v>16500000</v>
      </c>
      <c r="J33" s="25">
        <f t="shared" si="13"/>
        <v>172203980</v>
      </c>
      <c r="K33" s="25">
        <f t="shared" si="13"/>
        <v>0</v>
      </c>
      <c r="L33" s="25">
        <f t="shared" si="13"/>
        <v>0</v>
      </c>
      <c r="M33" s="25">
        <f t="shared" si="13"/>
        <v>9866250</v>
      </c>
      <c r="N33" s="25">
        <f t="shared" si="13"/>
        <v>0</v>
      </c>
      <c r="O33" s="25">
        <f t="shared" si="13"/>
        <v>1190000</v>
      </c>
      <c r="P33" s="25">
        <f t="shared" si="13"/>
        <v>217548656</v>
      </c>
      <c r="Q33" s="25">
        <f t="shared" si="13"/>
        <v>0</v>
      </c>
      <c r="R33" s="25">
        <f t="shared" si="13"/>
        <v>0</v>
      </c>
      <c r="S33" s="25">
        <f t="shared" si="13"/>
        <v>8070000</v>
      </c>
      <c r="T33" s="25">
        <f t="shared" si="13"/>
        <v>425378886</v>
      </c>
      <c r="U33" s="82"/>
      <c r="V33" s="82"/>
    </row>
    <row r="34" spans="1:22" x14ac:dyDescent="0.25">
      <c r="A34" s="29" t="s">
        <v>233</v>
      </c>
      <c r="B34" s="27" t="s">
        <v>234</v>
      </c>
      <c r="C34" s="35">
        <v>21450000</v>
      </c>
      <c r="D34" s="35">
        <v>4000000</v>
      </c>
      <c r="E34" s="12"/>
      <c r="F34" s="12"/>
      <c r="G34" s="44">
        <f t="shared" si="2"/>
        <v>25450000</v>
      </c>
      <c r="H34" s="49">
        <v>0</v>
      </c>
      <c r="I34" s="44">
        <v>0</v>
      </c>
      <c r="J34" s="44">
        <v>0</v>
      </c>
      <c r="K34" s="44"/>
      <c r="L34" s="44"/>
      <c r="M34" s="44"/>
      <c r="N34" s="44"/>
      <c r="O34" s="85">
        <v>1190000</v>
      </c>
      <c r="P34" s="86"/>
      <c r="Q34" s="87"/>
      <c r="R34" s="93"/>
      <c r="S34" s="95"/>
      <c r="T34" s="55">
        <f t="shared" si="3"/>
        <v>1190000</v>
      </c>
      <c r="U34" s="82"/>
      <c r="V34" s="82"/>
    </row>
    <row r="35" spans="1:22" x14ac:dyDescent="0.25">
      <c r="A35" s="12" t="s">
        <v>235</v>
      </c>
      <c r="B35" s="27" t="s">
        <v>236</v>
      </c>
      <c r="C35" s="35">
        <v>275000000</v>
      </c>
      <c r="D35" s="35">
        <v>10000000</v>
      </c>
      <c r="E35" s="12"/>
      <c r="F35" s="12"/>
      <c r="G35" s="44">
        <f t="shared" si="2"/>
        <v>285000000</v>
      </c>
      <c r="H35" s="48">
        <v>0</v>
      </c>
      <c r="I35" s="53">
        <v>16500000</v>
      </c>
      <c r="J35" s="54">
        <v>18203980</v>
      </c>
      <c r="K35" s="56"/>
      <c r="L35" s="61"/>
      <c r="M35" s="63">
        <v>9866250</v>
      </c>
      <c r="N35" s="54"/>
      <c r="O35" s="84"/>
      <c r="P35" s="86">
        <v>217548656</v>
      </c>
      <c r="Q35" s="87"/>
      <c r="R35" s="93"/>
      <c r="S35" s="95">
        <v>8070000</v>
      </c>
      <c r="T35" s="55">
        <f t="shared" si="3"/>
        <v>270188886</v>
      </c>
      <c r="U35" s="82"/>
      <c r="V35" s="82"/>
    </row>
    <row r="36" spans="1:22" x14ac:dyDescent="0.25">
      <c r="A36" s="26" t="s">
        <v>237</v>
      </c>
      <c r="B36" s="27" t="s">
        <v>238</v>
      </c>
      <c r="C36" s="35">
        <v>11000000</v>
      </c>
      <c r="D36" s="35"/>
      <c r="E36" s="12"/>
      <c r="F36" s="12"/>
      <c r="G36" s="44">
        <f t="shared" si="2"/>
        <v>11000000</v>
      </c>
      <c r="H36" s="49">
        <v>0</v>
      </c>
      <c r="I36" s="44">
        <v>0</v>
      </c>
      <c r="J36" s="44">
        <v>0</v>
      </c>
      <c r="K36" s="44"/>
      <c r="L36" s="44"/>
      <c r="M36" s="44"/>
      <c r="N36" s="44"/>
      <c r="O36" s="85"/>
      <c r="P36" s="86"/>
      <c r="Q36" s="87"/>
      <c r="R36" s="93"/>
      <c r="S36" s="95"/>
      <c r="T36" s="55">
        <f t="shared" si="3"/>
        <v>0</v>
      </c>
      <c r="U36" s="82"/>
      <c r="V36" s="82"/>
    </row>
    <row r="37" spans="1:22" x14ac:dyDescent="0.25">
      <c r="A37" s="26" t="s">
        <v>239</v>
      </c>
      <c r="B37" s="27" t="s">
        <v>240</v>
      </c>
      <c r="C37" s="35">
        <v>1100000</v>
      </c>
      <c r="D37" s="35"/>
      <c r="E37" s="12"/>
      <c r="F37" s="12"/>
      <c r="G37" s="44">
        <f t="shared" si="2"/>
        <v>1100000</v>
      </c>
      <c r="H37" s="49">
        <v>0</v>
      </c>
      <c r="I37" s="44">
        <v>0</v>
      </c>
      <c r="J37" s="44">
        <v>0</v>
      </c>
      <c r="K37" s="44"/>
      <c r="L37" s="44"/>
      <c r="M37" s="44"/>
      <c r="N37" s="44"/>
      <c r="O37" s="85"/>
      <c r="P37" s="86"/>
      <c r="Q37" s="87"/>
      <c r="R37" s="93"/>
      <c r="S37" s="95"/>
      <c r="T37" s="55">
        <f t="shared" si="3"/>
        <v>0</v>
      </c>
      <c r="U37" s="82"/>
      <c r="V37" s="82"/>
    </row>
    <row r="38" spans="1:22" x14ac:dyDescent="0.25">
      <c r="A38" s="26" t="s">
        <v>241</v>
      </c>
      <c r="B38" s="27" t="s">
        <v>242</v>
      </c>
      <c r="C38" s="35">
        <v>174900000</v>
      </c>
      <c r="D38" s="35"/>
      <c r="E38" s="12"/>
      <c r="F38" s="12"/>
      <c r="G38" s="44">
        <f t="shared" si="2"/>
        <v>174900000</v>
      </c>
      <c r="H38" s="48">
        <v>0</v>
      </c>
      <c r="I38" s="53">
        <v>0</v>
      </c>
      <c r="J38" s="54">
        <v>154000000</v>
      </c>
      <c r="K38" s="56"/>
      <c r="L38" s="61"/>
      <c r="M38" s="63"/>
      <c r="N38" s="54"/>
      <c r="O38" s="84"/>
      <c r="P38" s="86"/>
      <c r="Q38" s="87"/>
      <c r="R38" s="93"/>
      <c r="S38" s="95"/>
      <c r="T38" s="55">
        <f t="shared" si="3"/>
        <v>154000000</v>
      </c>
      <c r="U38" s="82"/>
      <c r="V38" s="82"/>
    </row>
    <row r="39" spans="1:22" ht="15.75" x14ac:dyDescent="0.3">
      <c r="A39" s="23" t="s">
        <v>243</v>
      </c>
      <c r="B39" s="24" t="s">
        <v>244</v>
      </c>
      <c r="C39" s="25">
        <f>SUM(C40:C51)</f>
        <v>1014500000</v>
      </c>
      <c r="D39" s="25">
        <f t="shared" ref="D39:F39" si="14">SUM(D40:D51)</f>
        <v>140500000</v>
      </c>
      <c r="E39" s="25">
        <f t="shared" si="14"/>
        <v>0</v>
      </c>
      <c r="F39" s="25">
        <f t="shared" si="14"/>
        <v>0</v>
      </c>
      <c r="G39" s="25">
        <f>SUM(G40:G51)</f>
        <v>1155000000</v>
      </c>
      <c r="H39" s="47">
        <f t="shared" ref="H39:T39" si="15">SUM(H40:H51)</f>
        <v>172728975</v>
      </c>
      <c r="I39" s="25">
        <f t="shared" si="15"/>
        <v>77653711</v>
      </c>
      <c r="J39" s="25">
        <f t="shared" si="15"/>
        <v>74577680</v>
      </c>
      <c r="K39" s="25">
        <f t="shared" si="15"/>
        <v>44689711</v>
      </c>
      <c r="L39" s="25">
        <f t="shared" si="15"/>
        <v>28110872</v>
      </c>
      <c r="M39" s="25">
        <f t="shared" si="15"/>
        <v>17927829</v>
      </c>
      <c r="N39" s="25">
        <f t="shared" si="15"/>
        <v>74096922</v>
      </c>
      <c r="O39" s="25">
        <f t="shared" si="15"/>
        <v>24666594</v>
      </c>
      <c r="P39" s="25">
        <f t="shared" si="15"/>
        <v>28515880</v>
      </c>
      <c r="Q39" s="25">
        <f t="shared" si="15"/>
        <v>240647579</v>
      </c>
      <c r="R39" s="25">
        <f t="shared" si="15"/>
        <v>51912225</v>
      </c>
      <c r="S39" s="25">
        <f t="shared" si="15"/>
        <v>29932414</v>
      </c>
      <c r="T39" s="25">
        <f t="shared" si="15"/>
        <v>865460392</v>
      </c>
      <c r="U39" s="82"/>
      <c r="V39" s="82"/>
    </row>
    <row r="40" spans="1:22" x14ac:dyDescent="0.25">
      <c r="A40" s="26" t="s">
        <v>245</v>
      </c>
      <c r="B40" s="27" t="s">
        <v>246</v>
      </c>
      <c r="C40" s="35">
        <v>203500000</v>
      </c>
      <c r="D40" s="35">
        <v>115000000</v>
      </c>
      <c r="E40" s="12"/>
      <c r="F40" s="12"/>
      <c r="G40" s="44">
        <f t="shared" si="2"/>
        <v>318500000</v>
      </c>
      <c r="H40" s="48">
        <v>0</v>
      </c>
      <c r="I40" s="53">
        <v>0</v>
      </c>
      <c r="J40" s="54">
        <v>8234800</v>
      </c>
      <c r="K40" s="56"/>
      <c r="L40" s="61"/>
      <c r="M40" s="63"/>
      <c r="N40" s="54">
        <v>14615006</v>
      </c>
      <c r="O40" s="84"/>
      <c r="P40" s="86"/>
      <c r="Q40" s="87">
        <v>216018933</v>
      </c>
      <c r="R40" s="93">
        <v>10986760</v>
      </c>
      <c r="S40" s="95"/>
      <c r="T40" s="55">
        <f t="shared" si="3"/>
        <v>249855499</v>
      </c>
      <c r="U40" s="82"/>
      <c r="V40" s="82"/>
    </row>
    <row r="41" spans="1:22" x14ac:dyDescent="0.25">
      <c r="A41" s="26" t="s">
        <v>247</v>
      </c>
      <c r="B41" s="27" t="s">
        <v>248</v>
      </c>
      <c r="C41" s="35">
        <v>55000000</v>
      </c>
      <c r="D41" s="35">
        <v>14500000</v>
      </c>
      <c r="E41" s="12"/>
      <c r="F41" s="12"/>
      <c r="G41" s="44">
        <f t="shared" si="2"/>
        <v>69500000</v>
      </c>
      <c r="H41" s="48">
        <v>0</v>
      </c>
      <c r="I41" s="53">
        <v>0</v>
      </c>
      <c r="J41" s="54">
        <v>54583720</v>
      </c>
      <c r="K41" s="56"/>
      <c r="L41" s="61"/>
      <c r="M41" s="63"/>
      <c r="N41" s="54"/>
      <c r="O41" s="84"/>
      <c r="P41" s="86"/>
      <c r="Q41" s="87"/>
      <c r="R41" s="93"/>
      <c r="S41" s="95"/>
      <c r="T41" s="55">
        <f t="shared" si="3"/>
        <v>54583720</v>
      </c>
      <c r="U41" s="82"/>
      <c r="V41" s="82"/>
    </row>
    <row r="42" spans="1:22" x14ac:dyDescent="0.25">
      <c r="A42" s="26" t="s">
        <v>249</v>
      </c>
      <c r="B42" s="27" t="s">
        <v>250</v>
      </c>
      <c r="C42" s="35">
        <v>230000000</v>
      </c>
      <c r="D42" s="35"/>
      <c r="E42" s="12"/>
      <c r="F42" s="12"/>
      <c r="G42" s="44">
        <f t="shared" si="2"/>
        <v>230000000</v>
      </c>
      <c r="H42" s="48">
        <v>9517664</v>
      </c>
      <c r="I42" s="53">
        <v>55692819</v>
      </c>
      <c r="J42" s="54">
        <v>8823950</v>
      </c>
      <c r="K42" s="56">
        <v>32712171</v>
      </c>
      <c r="L42" s="61">
        <v>11736719</v>
      </c>
      <c r="M42" s="63">
        <v>8529265</v>
      </c>
      <c r="N42" s="54">
        <v>21064754</v>
      </c>
      <c r="O42" s="84">
        <v>13277985</v>
      </c>
      <c r="P42" s="86">
        <v>14632199</v>
      </c>
      <c r="Q42" s="87">
        <v>12587776</v>
      </c>
      <c r="R42" s="93">
        <v>16948337</v>
      </c>
      <c r="S42" s="95">
        <v>16680200</v>
      </c>
      <c r="T42" s="55">
        <f t="shared" si="3"/>
        <v>222203839</v>
      </c>
      <c r="U42" s="82"/>
      <c r="V42" s="82"/>
    </row>
    <row r="43" spans="1:22" x14ac:dyDescent="0.25">
      <c r="A43" s="26" t="s">
        <v>251</v>
      </c>
      <c r="B43" s="27" t="s">
        <v>252</v>
      </c>
      <c r="C43" s="35">
        <v>30000000</v>
      </c>
      <c r="D43" s="35"/>
      <c r="E43" s="12"/>
      <c r="F43" s="12"/>
      <c r="G43" s="44">
        <f t="shared" si="2"/>
        <v>30000000</v>
      </c>
      <c r="H43" s="48">
        <v>0</v>
      </c>
      <c r="I43" s="53">
        <v>198129</v>
      </c>
      <c r="J43" s="54">
        <v>2935210</v>
      </c>
      <c r="K43" s="56"/>
      <c r="L43" s="61"/>
      <c r="M43" s="63"/>
      <c r="N43" s="54">
        <v>6943837</v>
      </c>
      <c r="O43" s="84"/>
      <c r="P43" s="86">
        <v>2210356</v>
      </c>
      <c r="Q43" s="87">
        <v>297506</v>
      </c>
      <c r="R43" s="93">
        <v>573765</v>
      </c>
      <c r="S43" s="95">
        <v>277506</v>
      </c>
      <c r="T43" s="55">
        <f t="shared" si="3"/>
        <v>13436309</v>
      </c>
      <c r="U43" s="82"/>
      <c r="V43" s="82"/>
    </row>
    <row r="44" spans="1:22" x14ac:dyDescent="0.25">
      <c r="A44" s="26" t="s">
        <v>253</v>
      </c>
      <c r="B44" s="38" t="s">
        <v>254</v>
      </c>
      <c r="C44" s="35">
        <v>154000000</v>
      </c>
      <c r="D44" s="35"/>
      <c r="E44" s="12"/>
      <c r="F44" s="12"/>
      <c r="G44" s="44">
        <f t="shared" si="2"/>
        <v>154000000</v>
      </c>
      <c r="H44" s="48">
        <v>101611311</v>
      </c>
      <c r="I44" s="53">
        <v>0</v>
      </c>
      <c r="J44" s="54">
        <v>0</v>
      </c>
      <c r="K44" s="56">
        <v>2608133</v>
      </c>
      <c r="L44" s="61"/>
      <c r="M44" s="63"/>
      <c r="N44" s="54"/>
      <c r="O44" s="84"/>
      <c r="P44" s="86"/>
      <c r="Q44" s="87"/>
      <c r="R44" s="93"/>
      <c r="S44" s="95"/>
      <c r="T44" s="55">
        <f t="shared" si="3"/>
        <v>104219444</v>
      </c>
      <c r="U44" s="82"/>
      <c r="V44" s="82"/>
    </row>
    <row r="45" spans="1:22" x14ac:dyDescent="0.25">
      <c r="A45" s="26" t="s">
        <v>255</v>
      </c>
      <c r="B45" s="27" t="s">
        <v>256</v>
      </c>
      <c r="C45" s="35">
        <v>16500000</v>
      </c>
      <c r="D45" s="35"/>
      <c r="E45" s="12"/>
      <c r="F45" s="12"/>
      <c r="G45" s="44">
        <f t="shared" si="2"/>
        <v>16500000</v>
      </c>
      <c r="H45" s="48">
        <v>0</v>
      </c>
      <c r="I45" s="53">
        <v>0</v>
      </c>
      <c r="J45" s="54">
        <v>0</v>
      </c>
      <c r="K45" s="56"/>
      <c r="L45" s="61">
        <v>6437897</v>
      </c>
      <c r="M45" s="63"/>
      <c r="N45" s="54"/>
      <c r="O45" s="84"/>
      <c r="P45" s="86"/>
      <c r="Q45" s="87"/>
      <c r="R45" s="93"/>
      <c r="S45" s="95">
        <v>1231344</v>
      </c>
      <c r="T45" s="55">
        <f t="shared" si="3"/>
        <v>7669241</v>
      </c>
      <c r="U45" s="82"/>
      <c r="V45" s="82"/>
    </row>
    <row r="46" spans="1:22" x14ac:dyDescent="0.25">
      <c r="A46" s="26" t="s">
        <v>247</v>
      </c>
      <c r="B46" s="27" t="s">
        <v>257</v>
      </c>
      <c r="C46" s="35">
        <v>38500000</v>
      </c>
      <c r="D46" s="35"/>
      <c r="E46" s="12"/>
      <c r="F46" s="12"/>
      <c r="G46" s="44">
        <f t="shared" si="2"/>
        <v>38500000</v>
      </c>
      <c r="H46" s="48">
        <v>0</v>
      </c>
      <c r="I46" s="53">
        <v>0</v>
      </c>
      <c r="J46" s="54">
        <v>0</v>
      </c>
      <c r="K46" s="56"/>
      <c r="L46" s="61"/>
      <c r="M46" s="63"/>
      <c r="N46" s="54"/>
      <c r="O46" s="84"/>
      <c r="P46" s="86"/>
      <c r="Q46" s="87"/>
      <c r="R46" s="93"/>
      <c r="S46" s="95"/>
      <c r="T46" s="55">
        <f t="shared" si="3"/>
        <v>0</v>
      </c>
      <c r="U46" s="82"/>
      <c r="V46" s="82"/>
    </row>
    <row r="47" spans="1:22" x14ac:dyDescent="0.25">
      <c r="A47" s="26" t="s">
        <v>258</v>
      </c>
      <c r="B47" s="27" t="s">
        <v>259</v>
      </c>
      <c r="C47" s="35">
        <v>44000000</v>
      </c>
      <c r="D47" s="35"/>
      <c r="E47" s="12"/>
      <c r="F47" s="12"/>
      <c r="G47" s="44">
        <f t="shared" si="2"/>
        <v>44000000</v>
      </c>
      <c r="H47" s="48">
        <v>16800000</v>
      </c>
      <c r="I47" s="53">
        <v>0</v>
      </c>
      <c r="J47" s="54">
        <v>0</v>
      </c>
      <c r="K47" s="56"/>
      <c r="L47" s="61"/>
      <c r="M47" s="63"/>
      <c r="N47" s="54">
        <v>8400000</v>
      </c>
      <c r="O47" s="84"/>
      <c r="P47" s="86"/>
      <c r="Q47" s="87"/>
      <c r="R47" s="93">
        <v>6713333</v>
      </c>
      <c r="S47" s="95"/>
      <c r="T47" s="55">
        <f t="shared" si="3"/>
        <v>31913333</v>
      </c>
      <c r="U47" s="82"/>
      <c r="V47" s="82"/>
    </row>
    <row r="48" spans="1:22" x14ac:dyDescent="0.25">
      <c r="A48" s="26" t="s">
        <v>260</v>
      </c>
      <c r="B48" s="27" t="s">
        <v>336</v>
      </c>
      <c r="C48" s="35">
        <v>100000000</v>
      </c>
      <c r="D48" s="35"/>
      <c r="E48" s="12"/>
      <c r="F48" s="12"/>
      <c r="G48" s="44">
        <f t="shared" si="2"/>
        <v>100000000</v>
      </c>
      <c r="H48" s="48">
        <v>22800000</v>
      </c>
      <c r="I48" s="53">
        <v>0</v>
      </c>
      <c r="J48" s="54">
        <v>0</v>
      </c>
      <c r="K48" s="56"/>
      <c r="L48" s="61"/>
      <c r="M48" s="63"/>
      <c r="N48" s="54">
        <v>11400000</v>
      </c>
      <c r="O48" s="84"/>
      <c r="P48" s="86"/>
      <c r="Q48" s="87"/>
      <c r="R48" s="93">
        <v>4946666</v>
      </c>
      <c r="S48" s="95"/>
      <c r="T48" s="55">
        <f t="shared" si="3"/>
        <v>39146666</v>
      </c>
      <c r="U48" s="82"/>
      <c r="V48" s="82"/>
    </row>
    <row r="49" spans="1:22" x14ac:dyDescent="0.25">
      <c r="A49" s="34" t="s">
        <v>239</v>
      </c>
      <c r="B49" s="27" t="s">
        <v>261</v>
      </c>
      <c r="C49" s="35">
        <v>1000000</v>
      </c>
      <c r="D49" s="35"/>
      <c r="E49" s="12"/>
      <c r="F49" s="12"/>
      <c r="G49" s="44">
        <f t="shared" si="2"/>
        <v>1000000</v>
      </c>
      <c r="H49" s="48">
        <v>0</v>
      </c>
      <c r="I49" s="53">
        <v>0</v>
      </c>
      <c r="J49" s="54">
        <v>0</v>
      </c>
      <c r="K49" s="56"/>
      <c r="L49" s="61"/>
      <c r="M49" s="63"/>
      <c r="N49" s="54"/>
      <c r="O49" s="84"/>
      <c r="P49" s="86"/>
      <c r="Q49" s="87"/>
      <c r="R49" s="93"/>
      <c r="S49" s="95"/>
      <c r="T49" s="55">
        <f t="shared" si="3"/>
        <v>0</v>
      </c>
      <c r="U49" s="82"/>
      <c r="V49" s="82"/>
    </row>
    <row r="50" spans="1:22" x14ac:dyDescent="0.25">
      <c r="A50" s="34" t="s">
        <v>253</v>
      </c>
      <c r="B50" s="27" t="s">
        <v>262</v>
      </c>
      <c r="C50" s="35">
        <v>120000000</v>
      </c>
      <c r="D50" s="35"/>
      <c r="E50" s="12"/>
      <c r="F50" s="12"/>
      <c r="G50" s="44">
        <f t="shared" si="2"/>
        <v>120000000</v>
      </c>
      <c r="H50" s="48">
        <v>0</v>
      </c>
      <c r="I50" s="53">
        <v>21762763</v>
      </c>
      <c r="J50" s="54">
        <v>0</v>
      </c>
      <c r="K50" s="56">
        <v>9369407</v>
      </c>
      <c r="L50" s="61">
        <v>9936256</v>
      </c>
      <c r="M50" s="63">
        <v>9398564</v>
      </c>
      <c r="N50" s="54">
        <v>11673325</v>
      </c>
      <c r="O50" s="84">
        <v>11388609</v>
      </c>
      <c r="P50" s="86">
        <v>11673325</v>
      </c>
      <c r="Q50" s="87">
        <v>11743364</v>
      </c>
      <c r="R50" s="93">
        <v>11743364</v>
      </c>
      <c r="S50" s="95">
        <v>11743364</v>
      </c>
      <c r="T50" s="55">
        <f t="shared" si="3"/>
        <v>120432341</v>
      </c>
      <c r="U50" s="82"/>
      <c r="V50" s="82"/>
    </row>
    <row r="51" spans="1:22" x14ac:dyDescent="0.25">
      <c r="A51" s="31" t="s">
        <v>263</v>
      </c>
      <c r="B51" s="27" t="s">
        <v>264</v>
      </c>
      <c r="C51" s="35">
        <v>22000000</v>
      </c>
      <c r="D51" s="35">
        <v>11000000</v>
      </c>
      <c r="E51" s="12"/>
      <c r="F51" s="12"/>
      <c r="G51" s="44">
        <f t="shared" si="2"/>
        <v>33000000</v>
      </c>
      <c r="H51" s="48">
        <v>22000000</v>
      </c>
      <c r="I51" s="53">
        <v>0</v>
      </c>
      <c r="J51" s="54">
        <v>0</v>
      </c>
      <c r="K51" s="56"/>
      <c r="L51" s="61"/>
      <c r="M51" s="63"/>
      <c r="N51" s="54"/>
      <c r="O51" s="84"/>
      <c r="P51" s="86"/>
      <c r="Q51" s="87"/>
      <c r="R51" s="93"/>
      <c r="S51" s="95"/>
      <c r="T51" s="55">
        <f t="shared" si="3"/>
        <v>22000000</v>
      </c>
      <c r="U51" s="82"/>
      <c r="V51" s="82"/>
    </row>
    <row r="52" spans="1:22" ht="15.75" x14ac:dyDescent="0.3">
      <c r="A52" s="23" t="s">
        <v>265</v>
      </c>
      <c r="B52" s="24" t="s">
        <v>266</v>
      </c>
      <c r="C52" s="25">
        <f>SUM(C53:C54)</f>
        <v>61000000</v>
      </c>
      <c r="D52" s="25">
        <f t="shared" ref="D52:F52" si="16">SUM(D53:D54)</f>
        <v>0</v>
      </c>
      <c r="E52" s="25">
        <f t="shared" si="16"/>
        <v>0</v>
      </c>
      <c r="F52" s="25">
        <f t="shared" si="16"/>
        <v>0</v>
      </c>
      <c r="G52" s="25">
        <f>SUM(G53:G54)</f>
        <v>61000000</v>
      </c>
      <c r="H52" s="47">
        <f t="shared" ref="H52:T52" si="17">SUM(H53:H54)</f>
        <v>3780611</v>
      </c>
      <c r="I52" s="25">
        <f t="shared" si="17"/>
        <v>3782043</v>
      </c>
      <c r="J52" s="25">
        <f t="shared" si="17"/>
        <v>3781327</v>
      </c>
      <c r="K52" s="25">
        <f t="shared" si="17"/>
        <v>3781327</v>
      </c>
      <c r="L52" s="25">
        <f t="shared" si="17"/>
        <v>3781327</v>
      </c>
      <c r="M52" s="25">
        <f t="shared" si="17"/>
        <v>8198792</v>
      </c>
      <c r="N52" s="25">
        <f t="shared" si="17"/>
        <v>1612490</v>
      </c>
      <c r="O52" s="25">
        <f t="shared" si="17"/>
        <v>1612490</v>
      </c>
      <c r="P52" s="25">
        <f t="shared" si="17"/>
        <v>1612490</v>
      </c>
      <c r="Q52" s="25">
        <f t="shared" si="17"/>
        <v>1612490</v>
      </c>
      <c r="R52" s="25">
        <f t="shared" si="17"/>
        <v>1162490</v>
      </c>
      <c r="S52" s="25">
        <f t="shared" si="17"/>
        <v>3224980</v>
      </c>
      <c r="T52" s="25">
        <f t="shared" si="17"/>
        <v>37942857</v>
      </c>
      <c r="U52" s="82"/>
      <c r="V52" s="82"/>
    </row>
    <row r="53" spans="1:22" x14ac:dyDescent="0.25">
      <c r="A53" s="31" t="s">
        <v>267</v>
      </c>
      <c r="B53" s="27" t="s">
        <v>268</v>
      </c>
      <c r="C53" s="35">
        <v>60000000</v>
      </c>
      <c r="D53" s="12"/>
      <c r="E53" s="12"/>
      <c r="F53" s="12"/>
      <c r="G53" s="44">
        <f t="shared" si="2"/>
        <v>60000000</v>
      </c>
      <c r="H53" s="48">
        <v>3780611</v>
      </c>
      <c r="I53" s="53">
        <v>3782043</v>
      </c>
      <c r="J53" s="54">
        <v>3781327</v>
      </c>
      <c r="K53" s="56">
        <v>3781327</v>
      </c>
      <c r="L53" s="61">
        <v>3781327</v>
      </c>
      <c r="M53" s="63">
        <v>8198792</v>
      </c>
      <c r="N53" s="54">
        <v>1612490</v>
      </c>
      <c r="O53" s="84">
        <v>1612490</v>
      </c>
      <c r="P53" s="86">
        <v>1612490</v>
      </c>
      <c r="Q53" s="87">
        <v>1612490</v>
      </c>
      <c r="R53" s="93">
        <v>1162490</v>
      </c>
      <c r="S53" s="95">
        <v>3224980</v>
      </c>
      <c r="T53" s="55">
        <f t="shared" si="3"/>
        <v>37942857</v>
      </c>
      <c r="U53" s="82"/>
      <c r="V53" s="82"/>
    </row>
    <row r="54" spans="1:22" x14ac:dyDescent="0.25">
      <c r="A54" s="31" t="s">
        <v>269</v>
      </c>
      <c r="B54" s="27" t="s">
        <v>270</v>
      </c>
      <c r="C54" s="35">
        <v>1000000</v>
      </c>
      <c r="D54" s="12"/>
      <c r="E54" s="12"/>
      <c r="F54" s="12"/>
      <c r="G54" s="44">
        <f t="shared" si="2"/>
        <v>1000000</v>
      </c>
      <c r="H54" s="49">
        <v>0</v>
      </c>
      <c r="I54" s="44">
        <v>0</v>
      </c>
      <c r="J54" s="44">
        <v>0</v>
      </c>
      <c r="K54" s="56"/>
      <c r="L54" s="61"/>
      <c r="M54" s="63"/>
      <c r="N54" s="54"/>
      <c r="O54" s="84"/>
      <c r="P54" s="86"/>
      <c r="Q54" s="87"/>
      <c r="R54" s="93"/>
      <c r="S54" s="95"/>
      <c r="T54" s="55">
        <f t="shared" si="3"/>
        <v>0</v>
      </c>
      <c r="U54" s="82"/>
      <c r="V54" s="82"/>
    </row>
    <row r="55" spans="1:22" ht="15.75" x14ac:dyDescent="0.3">
      <c r="A55" s="23" t="s">
        <v>271</v>
      </c>
      <c r="B55" s="24" t="s">
        <v>272</v>
      </c>
      <c r="C55" s="25">
        <f>C56+C57+C58+C59+C60</f>
        <v>1023630000</v>
      </c>
      <c r="D55" s="25">
        <f t="shared" ref="D55:F55" si="18">D56+D57+D58+D59+D60</f>
        <v>20000000</v>
      </c>
      <c r="E55" s="25">
        <f t="shared" si="18"/>
        <v>270500000</v>
      </c>
      <c r="F55" s="25">
        <f t="shared" si="18"/>
        <v>0</v>
      </c>
      <c r="G55" s="25">
        <f>G56+G57+G58+G59+G60</f>
        <v>773130000</v>
      </c>
      <c r="H55" s="47">
        <f t="shared" ref="H55:T55" si="19">H56+H57+H58+H59+H60</f>
        <v>5589146</v>
      </c>
      <c r="I55" s="25">
        <f t="shared" si="19"/>
        <v>14183021</v>
      </c>
      <c r="J55" s="25">
        <f t="shared" si="19"/>
        <v>4176087</v>
      </c>
      <c r="K55" s="25">
        <f t="shared" si="19"/>
        <v>3790566</v>
      </c>
      <c r="L55" s="25">
        <f t="shared" si="19"/>
        <v>1343402</v>
      </c>
      <c r="M55" s="25">
        <f t="shared" si="19"/>
        <v>0</v>
      </c>
      <c r="N55" s="25">
        <f t="shared" si="19"/>
        <v>204010587</v>
      </c>
      <c r="O55" s="25">
        <f t="shared" si="19"/>
        <v>28873786</v>
      </c>
      <c r="P55" s="25">
        <f t="shared" si="19"/>
        <v>2500000</v>
      </c>
      <c r="Q55" s="25">
        <f t="shared" si="19"/>
        <v>2000000</v>
      </c>
      <c r="R55" s="25">
        <f t="shared" si="19"/>
        <v>0</v>
      </c>
      <c r="S55" s="25">
        <f t="shared" si="19"/>
        <v>10632000</v>
      </c>
      <c r="T55" s="25">
        <f t="shared" si="19"/>
        <v>277098595</v>
      </c>
      <c r="U55" s="82"/>
      <c r="V55" s="82"/>
    </row>
    <row r="56" spans="1:22" x14ac:dyDescent="0.25">
      <c r="A56" s="29" t="s">
        <v>273</v>
      </c>
      <c r="B56" s="27" t="s">
        <v>274</v>
      </c>
      <c r="C56" s="35">
        <v>30000000</v>
      </c>
      <c r="D56" s="12"/>
      <c r="E56" s="12"/>
      <c r="F56" s="12"/>
      <c r="G56" s="44">
        <f t="shared" si="2"/>
        <v>30000000</v>
      </c>
      <c r="H56" s="49">
        <v>0</v>
      </c>
      <c r="I56" s="44">
        <v>0</v>
      </c>
      <c r="J56" s="44">
        <v>0</v>
      </c>
      <c r="K56" s="56"/>
      <c r="L56" s="61"/>
      <c r="M56" s="63"/>
      <c r="N56" s="54"/>
      <c r="O56" s="84"/>
      <c r="P56" s="86"/>
      <c r="Q56" s="87">
        <v>2000000</v>
      </c>
      <c r="R56" s="93"/>
      <c r="S56" s="95"/>
      <c r="T56" s="55">
        <f t="shared" si="3"/>
        <v>2000000</v>
      </c>
      <c r="U56" s="82"/>
      <c r="V56" s="82"/>
    </row>
    <row r="57" spans="1:22" x14ac:dyDescent="0.25">
      <c r="A57" s="29" t="s">
        <v>275</v>
      </c>
      <c r="B57" s="27" t="s">
        <v>276</v>
      </c>
      <c r="C57" s="35">
        <v>200000000</v>
      </c>
      <c r="D57" s="12"/>
      <c r="E57" s="35"/>
      <c r="F57" s="12"/>
      <c r="G57" s="44">
        <f t="shared" si="2"/>
        <v>200000000</v>
      </c>
      <c r="H57" s="48">
        <v>5589146</v>
      </c>
      <c r="I57" s="53">
        <v>9907915</v>
      </c>
      <c r="J57" s="54">
        <v>1299756</v>
      </c>
      <c r="K57" s="56">
        <v>1458000</v>
      </c>
      <c r="L57" s="61">
        <v>1046520</v>
      </c>
      <c r="M57" s="63"/>
      <c r="N57" s="54">
        <v>6373893</v>
      </c>
      <c r="O57" s="84">
        <v>15380000</v>
      </c>
      <c r="P57" s="86"/>
      <c r="Q57" s="87"/>
      <c r="R57" s="93"/>
      <c r="S57" s="95"/>
      <c r="T57" s="55">
        <f t="shared" si="3"/>
        <v>41055230</v>
      </c>
      <c r="U57" s="82"/>
      <c r="V57" s="82"/>
    </row>
    <row r="58" spans="1:22" x14ac:dyDescent="0.25">
      <c r="A58" s="29" t="s">
        <v>277</v>
      </c>
      <c r="B58" s="27" t="s">
        <v>278</v>
      </c>
      <c r="C58" s="35">
        <v>40000000</v>
      </c>
      <c r="D58" s="35">
        <v>20000000</v>
      </c>
      <c r="E58" s="35"/>
      <c r="F58" s="12"/>
      <c r="G58" s="44">
        <f t="shared" si="2"/>
        <v>60000000</v>
      </c>
      <c r="H58" s="48">
        <v>0</v>
      </c>
      <c r="I58" s="53">
        <v>4275106</v>
      </c>
      <c r="J58" s="54">
        <v>2876331</v>
      </c>
      <c r="K58" s="56">
        <v>2332566</v>
      </c>
      <c r="L58" s="61">
        <v>296882</v>
      </c>
      <c r="M58" s="63"/>
      <c r="N58" s="54">
        <v>17636694</v>
      </c>
      <c r="O58" s="84">
        <v>13493786</v>
      </c>
      <c r="P58" s="86">
        <v>2500000</v>
      </c>
      <c r="Q58" s="87"/>
      <c r="R58" s="93"/>
      <c r="S58" s="95">
        <v>10632000</v>
      </c>
      <c r="T58" s="55">
        <f t="shared" si="3"/>
        <v>54043365</v>
      </c>
      <c r="U58" s="82"/>
      <c r="V58" s="82"/>
    </row>
    <row r="59" spans="1:22" x14ac:dyDescent="0.25">
      <c r="A59" s="29" t="s">
        <v>279</v>
      </c>
      <c r="B59" s="27" t="s">
        <v>280</v>
      </c>
      <c r="C59" s="35">
        <v>500000000</v>
      </c>
      <c r="D59" s="12"/>
      <c r="E59" s="35">
        <f>24500000+246000000</f>
        <v>270500000</v>
      </c>
      <c r="F59" s="12"/>
      <c r="G59" s="44">
        <f t="shared" si="2"/>
        <v>229500000</v>
      </c>
      <c r="H59" s="49">
        <v>0</v>
      </c>
      <c r="I59" s="44">
        <v>0</v>
      </c>
      <c r="J59" s="44">
        <v>0</v>
      </c>
      <c r="K59" s="56"/>
      <c r="L59" s="61"/>
      <c r="M59" s="63"/>
      <c r="N59" s="54"/>
      <c r="O59" s="84"/>
      <c r="P59" s="86"/>
      <c r="Q59" s="87"/>
      <c r="R59" s="93"/>
      <c r="S59" s="95"/>
      <c r="T59" s="55">
        <f t="shared" si="3"/>
        <v>0</v>
      </c>
      <c r="U59" s="82"/>
      <c r="V59" s="82"/>
    </row>
    <row r="60" spans="1:22" x14ac:dyDescent="0.25">
      <c r="A60" s="29" t="s">
        <v>281</v>
      </c>
      <c r="B60" s="27" t="s">
        <v>282</v>
      </c>
      <c r="C60" s="35">
        <v>253630000</v>
      </c>
      <c r="D60" s="12"/>
      <c r="E60" s="35"/>
      <c r="F60" s="12"/>
      <c r="G60" s="44">
        <f t="shared" si="2"/>
        <v>253630000</v>
      </c>
      <c r="H60" s="49">
        <v>0</v>
      </c>
      <c r="I60" s="44">
        <v>0</v>
      </c>
      <c r="J60" s="44">
        <v>0</v>
      </c>
      <c r="K60" s="56"/>
      <c r="L60" s="61"/>
      <c r="M60" s="63"/>
      <c r="N60" s="54">
        <v>180000000</v>
      </c>
      <c r="O60" s="84"/>
      <c r="P60" s="86"/>
      <c r="Q60" s="87"/>
      <c r="R60" s="93"/>
      <c r="S60" s="95"/>
      <c r="T60" s="55">
        <f t="shared" si="3"/>
        <v>180000000</v>
      </c>
      <c r="U60" s="82"/>
      <c r="V60" s="82"/>
    </row>
    <row r="61" spans="1:22" ht="15.75" x14ac:dyDescent="0.3">
      <c r="A61" s="23"/>
      <c r="B61" s="24" t="s">
        <v>283</v>
      </c>
      <c r="C61" s="25">
        <f>C4+C8+C17+C21+C30+C33+C39+C52+C55</f>
        <v>10793480000</v>
      </c>
      <c r="D61" s="25">
        <f t="shared" ref="D61:F61" si="20">D4+D8+D17+D21+D30+D33+D39+D52+D55</f>
        <v>665000000</v>
      </c>
      <c r="E61" s="25">
        <f t="shared" si="20"/>
        <v>665000000</v>
      </c>
      <c r="F61" s="25">
        <f t="shared" si="20"/>
        <v>508576089</v>
      </c>
      <c r="G61" s="25">
        <f>G4+G8+G17+G21+G30+G33+G39+G52+G55</f>
        <v>11302056089</v>
      </c>
      <c r="H61" s="47">
        <f t="shared" ref="H61:M61" si="21">H4+H8+H17+H21+H30+H33+H39+H52+H55</f>
        <v>844989642</v>
      </c>
      <c r="I61" s="25">
        <f t="shared" si="21"/>
        <v>846554843</v>
      </c>
      <c r="J61" s="25">
        <f t="shared" si="21"/>
        <v>875342480</v>
      </c>
      <c r="K61" s="25">
        <f t="shared" si="21"/>
        <v>604270864</v>
      </c>
      <c r="L61" s="25">
        <f t="shared" si="21"/>
        <v>760755328</v>
      </c>
      <c r="M61" s="25">
        <f t="shared" si="21"/>
        <v>775677092</v>
      </c>
      <c r="N61" s="25">
        <f t="shared" ref="N61:T61" si="22">+N55+N52+N39+N33+N30+N21+N17+N8+N4</f>
        <v>1085027624</v>
      </c>
      <c r="O61" s="25">
        <f t="shared" si="22"/>
        <v>654424892</v>
      </c>
      <c r="P61" s="25">
        <f t="shared" si="22"/>
        <v>989601840</v>
      </c>
      <c r="Q61" s="25">
        <f t="shared" si="22"/>
        <v>851462266</v>
      </c>
      <c r="R61" s="25">
        <f t="shared" si="22"/>
        <v>637691167</v>
      </c>
      <c r="S61" s="25">
        <f t="shared" si="22"/>
        <v>1064720812</v>
      </c>
      <c r="T61" s="25">
        <f t="shared" si="22"/>
        <v>9990518850</v>
      </c>
      <c r="U61" s="82"/>
      <c r="V61" s="82"/>
    </row>
    <row r="62" spans="1:22" x14ac:dyDescent="0.25">
      <c r="A62" s="29"/>
      <c r="B62" s="37" t="s">
        <v>284</v>
      </c>
      <c r="C62" s="21">
        <v>0</v>
      </c>
      <c r="D62" s="12"/>
      <c r="E62" s="12"/>
      <c r="F62" s="12"/>
      <c r="G62" s="12"/>
      <c r="H62" s="51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82"/>
      <c r="V62" s="82"/>
    </row>
    <row r="63" spans="1:22" ht="15.75" x14ac:dyDescent="0.25">
      <c r="A63" s="23" t="s">
        <v>285</v>
      </c>
      <c r="B63" s="37" t="s">
        <v>286</v>
      </c>
      <c r="C63" s="39">
        <f>C64+C65</f>
        <v>0</v>
      </c>
      <c r="D63" s="12"/>
      <c r="E63" s="12"/>
      <c r="F63" s="12"/>
      <c r="G63" s="12"/>
      <c r="H63" s="51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82"/>
      <c r="V63" s="82"/>
    </row>
    <row r="64" spans="1:22" x14ac:dyDescent="0.25">
      <c r="A64" s="29" t="s">
        <v>287</v>
      </c>
      <c r="B64" s="27" t="s">
        <v>288</v>
      </c>
      <c r="C64" s="21">
        <v>0</v>
      </c>
      <c r="D64" s="12"/>
      <c r="E64" s="12"/>
      <c r="F64" s="12"/>
      <c r="G64" s="44">
        <f t="shared" ref="G64:G65" si="23">+C64+D64-E64+F64</f>
        <v>0</v>
      </c>
      <c r="H64" s="49">
        <v>0</v>
      </c>
      <c r="I64" s="44">
        <v>0</v>
      </c>
      <c r="J64" s="44">
        <v>0</v>
      </c>
      <c r="K64" s="44"/>
      <c r="L64" s="44"/>
      <c r="M64" s="44"/>
      <c r="N64" s="44"/>
      <c r="O64" s="84"/>
      <c r="P64" s="86"/>
      <c r="Q64" s="87"/>
      <c r="R64" s="93"/>
      <c r="S64" s="95"/>
      <c r="T64" s="55">
        <f t="shared" ref="T64:T65" si="24">H64+I64+J64+K64+L64+M64+N64+O64+P64+Q64+R64+S64</f>
        <v>0</v>
      </c>
      <c r="U64" s="82"/>
      <c r="V64" s="82"/>
    </row>
    <row r="65" spans="1:22" x14ac:dyDescent="0.25">
      <c r="A65" s="29" t="s">
        <v>289</v>
      </c>
      <c r="B65" s="27" t="s">
        <v>290</v>
      </c>
      <c r="C65" s="21">
        <v>0</v>
      </c>
      <c r="D65" s="12"/>
      <c r="E65" s="12"/>
      <c r="F65" s="12"/>
      <c r="G65" s="44">
        <f t="shared" si="23"/>
        <v>0</v>
      </c>
      <c r="H65" s="49">
        <v>0</v>
      </c>
      <c r="I65" s="44">
        <v>0</v>
      </c>
      <c r="J65" s="44">
        <v>0</v>
      </c>
      <c r="K65" s="44"/>
      <c r="L65" s="44"/>
      <c r="M65" s="44"/>
      <c r="N65" s="44"/>
      <c r="O65" s="84"/>
      <c r="P65" s="86"/>
      <c r="Q65" s="87"/>
      <c r="R65" s="93"/>
      <c r="S65" s="95"/>
      <c r="T65" s="55">
        <f t="shared" si="24"/>
        <v>0</v>
      </c>
      <c r="U65" s="82"/>
      <c r="V65" s="82"/>
    </row>
    <row r="66" spans="1:22" x14ac:dyDescent="0.25">
      <c r="A66" s="21"/>
      <c r="B66" s="37" t="s">
        <v>291</v>
      </c>
      <c r="C66" s="21"/>
      <c r="D66" s="12"/>
      <c r="E66" s="12"/>
      <c r="F66" s="12"/>
      <c r="G66" s="12"/>
      <c r="H66" s="51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82"/>
      <c r="V66" s="82"/>
    </row>
    <row r="67" spans="1:22" x14ac:dyDescent="0.25">
      <c r="A67" s="29"/>
      <c r="B67" s="37" t="s">
        <v>292</v>
      </c>
      <c r="C67" s="21"/>
      <c r="D67" s="12"/>
      <c r="E67" s="12"/>
      <c r="F67" s="12"/>
      <c r="G67" s="12"/>
      <c r="H67" s="51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82"/>
      <c r="V67" s="82"/>
    </row>
    <row r="68" spans="1:22" ht="15.75" x14ac:dyDescent="0.3">
      <c r="B68" s="40" t="s">
        <v>293</v>
      </c>
      <c r="C68" s="12"/>
      <c r="D68" s="12"/>
      <c r="E68" s="12"/>
      <c r="F68" s="12"/>
      <c r="G68" s="12"/>
      <c r="H68" s="51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82"/>
      <c r="V68" s="82"/>
    </row>
    <row r="69" spans="1:22" x14ac:dyDescent="0.25">
      <c r="A69" s="41" t="s">
        <v>294</v>
      </c>
      <c r="B69" s="27" t="s">
        <v>295</v>
      </c>
      <c r="C69" s="35">
        <v>850000000</v>
      </c>
      <c r="D69" s="35">
        <f>337010000+263990000</f>
        <v>601000000</v>
      </c>
      <c r="E69" s="35"/>
      <c r="F69" s="12"/>
      <c r="G69" s="81">
        <f t="shared" ref="G69:G71" si="25">+C69+D69-E69+F69</f>
        <v>1451000000</v>
      </c>
      <c r="H69" s="49">
        <v>0</v>
      </c>
      <c r="I69" s="44">
        <v>0</v>
      </c>
      <c r="J69" s="44">
        <v>0</v>
      </c>
      <c r="K69" s="44"/>
      <c r="L69" s="44"/>
      <c r="M69" s="44"/>
      <c r="N69" s="44"/>
      <c r="O69" s="84"/>
      <c r="P69" s="86">
        <v>374406744</v>
      </c>
      <c r="Q69" s="87">
        <v>7999999</v>
      </c>
      <c r="R69" s="93">
        <v>10000000</v>
      </c>
      <c r="S69" s="95">
        <v>884216803</v>
      </c>
      <c r="T69" s="55">
        <f t="shared" ref="T69:T71" si="26">H69+I69+J69+K69+L69+M69+N69+O69+P69+Q69+R69+S69</f>
        <v>1276623546</v>
      </c>
      <c r="U69" s="82"/>
      <c r="V69" s="82"/>
    </row>
    <row r="70" spans="1:22" x14ac:dyDescent="0.25">
      <c r="A70" s="41" t="s">
        <v>296</v>
      </c>
      <c r="B70" s="27" t="s">
        <v>297</v>
      </c>
      <c r="C70" s="35">
        <v>337010000</v>
      </c>
      <c r="D70" s="35"/>
      <c r="E70" s="35">
        <v>337010000</v>
      </c>
      <c r="F70" s="12"/>
      <c r="G70" s="81">
        <f t="shared" si="25"/>
        <v>0</v>
      </c>
      <c r="H70" s="49">
        <v>0</v>
      </c>
      <c r="I70" s="44">
        <v>0</v>
      </c>
      <c r="J70" s="44">
        <v>0</v>
      </c>
      <c r="K70" s="44"/>
      <c r="L70" s="44"/>
      <c r="M70" s="44"/>
      <c r="N70" s="44"/>
      <c r="O70" s="84"/>
      <c r="P70" s="86"/>
      <c r="Q70" s="87"/>
      <c r="R70" s="93"/>
      <c r="S70" s="95"/>
      <c r="T70" s="55">
        <f t="shared" si="26"/>
        <v>0</v>
      </c>
      <c r="U70" s="82"/>
      <c r="V70" s="82"/>
    </row>
    <row r="71" spans="1:22" x14ac:dyDescent="0.25">
      <c r="A71" s="41" t="s">
        <v>298</v>
      </c>
      <c r="B71" s="27" t="s">
        <v>299</v>
      </c>
      <c r="C71" s="35">
        <v>597000000</v>
      </c>
      <c r="D71" s="35"/>
      <c r="E71" s="35">
        <v>263990000</v>
      </c>
      <c r="F71" s="12"/>
      <c r="G71" s="81">
        <f t="shared" si="25"/>
        <v>333010000</v>
      </c>
      <c r="H71" s="48">
        <v>148200000</v>
      </c>
      <c r="I71" s="53">
        <v>57000000</v>
      </c>
      <c r="J71" s="54">
        <v>0</v>
      </c>
      <c r="K71" s="56"/>
      <c r="L71" s="61">
        <v>26600000</v>
      </c>
      <c r="M71" s="63">
        <v>18600000</v>
      </c>
      <c r="N71" s="54"/>
      <c r="O71" s="84"/>
      <c r="P71" s="86"/>
      <c r="Q71" s="87"/>
      <c r="R71" s="93"/>
      <c r="S71" s="95"/>
      <c r="T71" s="55">
        <f t="shared" si="26"/>
        <v>250400000</v>
      </c>
      <c r="U71" s="82"/>
      <c r="V71" s="82"/>
    </row>
    <row r="72" spans="1:22" ht="15.75" x14ac:dyDescent="0.25">
      <c r="A72" s="42"/>
      <c r="B72" s="37" t="s">
        <v>300</v>
      </c>
      <c r="C72" s="39">
        <f t="shared" ref="C72:F72" si="27">SUM(C69:C71)</f>
        <v>1784010000</v>
      </c>
      <c r="D72" s="39">
        <f t="shared" si="27"/>
        <v>601000000</v>
      </c>
      <c r="E72" s="39">
        <f t="shared" si="27"/>
        <v>601000000</v>
      </c>
      <c r="F72" s="39">
        <f t="shared" si="27"/>
        <v>0</v>
      </c>
      <c r="G72" s="39">
        <f t="shared" ref="G72:T72" si="28">SUM(G69:G71)</f>
        <v>1784010000</v>
      </c>
      <c r="H72" s="52">
        <f t="shared" si="28"/>
        <v>148200000</v>
      </c>
      <c r="I72" s="39">
        <f t="shared" si="28"/>
        <v>57000000</v>
      </c>
      <c r="J72" s="39">
        <f t="shared" si="28"/>
        <v>0</v>
      </c>
      <c r="K72" s="39">
        <f t="shared" si="28"/>
        <v>0</v>
      </c>
      <c r="L72" s="39">
        <f t="shared" si="28"/>
        <v>26600000</v>
      </c>
      <c r="M72" s="39">
        <f t="shared" si="28"/>
        <v>18600000</v>
      </c>
      <c r="N72" s="39">
        <f t="shared" si="28"/>
        <v>0</v>
      </c>
      <c r="O72" s="39">
        <f t="shared" si="28"/>
        <v>0</v>
      </c>
      <c r="P72" s="39">
        <f t="shared" si="28"/>
        <v>374406744</v>
      </c>
      <c r="Q72" s="39">
        <f t="shared" si="28"/>
        <v>7999999</v>
      </c>
      <c r="R72" s="39">
        <f t="shared" si="28"/>
        <v>10000000</v>
      </c>
      <c r="S72" s="39">
        <f t="shared" si="28"/>
        <v>884216803</v>
      </c>
      <c r="T72" s="39">
        <f t="shared" si="28"/>
        <v>1527023546</v>
      </c>
    </row>
    <row r="73" spans="1:22" ht="19.5" x14ac:dyDescent="0.4">
      <c r="A73" s="104" t="s">
        <v>301</v>
      </c>
      <c r="B73" s="105"/>
      <c r="C73" s="43">
        <f>C61+C63+C72</f>
        <v>12577490000</v>
      </c>
      <c r="D73" s="43">
        <f t="shared" ref="D73:F73" si="29">D61+D63+D72</f>
        <v>1266000000</v>
      </c>
      <c r="E73" s="43">
        <f t="shared" si="29"/>
        <v>1266000000</v>
      </c>
      <c r="F73" s="43">
        <f t="shared" si="29"/>
        <v>508576089</v>
      </c>
      <c r="G73" s="43">
        <f>G61+G63+G72</f>
        <v>13086066089</v>
      </c>
      <c r="H73" s="43">
        <f t="shared" ref="H73:T73" si="30">H61+H63+H72</f>
        <v>993189642</v>
      </c>
      <c r="I73" s="43">
        <f t="shared" si="30"/>
        <v>903554843</v>
      </c>
      <c r="J73" s="43">
        <f t="shared" si="30"/>
        <v>875342480</v>
      </c>
      <c r="K73" s="43">
        <f t="shared" si="30"/>
        <v>604270864</v>
      </c>
      <c r="L73" s="43">
        <f t="shared" si="30"/>
        <v>787355328</v>
      </c>
      <c r="M73" s="43">
        <f t="shared" si="30"/>
        <v>794277092</v>
      </c>
      <c r="N73" s="43">
        <f t="shared" si="30"/>
        <v>1085027624</v>
      </c>
      <c r="O73" s="43">
        <f t="shared" si="30"/>
        <v>654424892</v>
      </c>
      <c r="P73" s="43">
        <f t="shared" si="30"/>
        <v>1364008584</v>
      </c>
      <c r="Q73" s="43">
        <f t="shared" si="30"/>
        <v>859462265</v>
      </c>
      <c r="R73" s="43">
        <f t="shared" si="30"/>
        <v>647691167</v>
      </c>
      <c r="S73" s="43">
        <f t="shared" si="30"/>
        <v>1948937615</v>
      </c>
      <c r="T73" s="43">
        <f t="shared" si="30"/>
        <v>11517542396</v>
      </c>
    </row>
    <row r="74" spans="1:22" x14ac:dyDescent="0.25">
      <c r="G74" s="46"/>
    </row>
    <row r="76" spans="1:22" x14ac:dyDescent="0.25">
      <c r="E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</row>
    <row r="77" spans="1:22" x14ac:dyDescent="0.25"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</row>
    <row r="78" spans="1:22" x14ac:dyDescent="0.25"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1:22" x14ac:dyDescent="0.25"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</row>
    <row r="80" spans="1:22" x14ac:dyDescent="0.25"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</row>
    <row r="81" spans="8:12" x14ac:dyDescent="0.25">
      <c r="H81" s="46"/>
      <c r="I81" s="46"/>
      <c r="J81" s="46"/>
      <c r="K81" s="46"/>
      <c r="L81" s="46"/>
    </row>
    <row r="82" spans="8:12" x14ac:dyDescent="0.25">
      <c r="H82" s="46"/>
      <c r="I82" s="46"/>
      <c r="J82" s="46"/>
      <c r="K82" s="46"/>
      <c r="L82" s="46"/>
    </row>
    <row r="83" spans="8:12" ht="15" customHeight="1" x14ac:dyDescent="0.25">
      <c r="H83" s="46"/>
      <c r="I83" s="46"/>
      <c r="J83" s="46"/>
      <c r="K83" s="46"/>
      <c r="L83" s="46"/>
    </row>
    <row r="84" spans="8:12" x14ac:dyDescent="0.25">
      <c r="H84" s="46"/>
      <c r="I84" s="46"/>
      <c r="J84" s="46"/>
      <c r="K84" s="46"/>
      <c r="L84" s="46"/>
    </row>
    <row r="85" spans="8:12" x14ac:dyDescent="0.25">
      <c r="H85" s="46"/>
      <c r="I85" s="46"/>
      <c r="J85" s="46"/>
      <c r="K85" s="46"/>
      <c r="L85" s="46"/>
    </row>
    <row r="86" spans="8:12" x14ac:dyDescent="0.25">
      <c r="H86" s="46"/>
      <c r="I86" s="46"/>
      <c r="J86" s="46"/>
      <c r="K86" s="46"/>
      <c r="L86" s="46"/>
    </row>
    <row r="87" spans="8:12" x14ac:dyDescent="0.25">
      <c r="H87" s="46"/>
      <c r="I87" s="46"/>
      <c r="J87" s="46"/>
      <c r="K87" s="46"/>
      <c r="L87" s="46"/>
    </row>
    <row r="88" spans="8:12" x14ac:dyDescent="0.25">
      <c r="H88" s="46"/>
      <c r="I88" s="46"/>
      <c r="J88" s="46"/>
      <c r="K88" s="46"/>
      <c r="L88" s="46"/>
    </row>
    <row r="89" spans="8:12" x14ac:dyDescent="0.25">
      <c r="H89" s="46"/>
      <c r="I89" s="46"/>
      <c r="J89" s="46"/>
      <c r="K89" s="46"/>
      <c r="L89" s="46"/>
    </row>
    <row r="90" spans="8:12" x14ac:dyDescent="0.25">
      <c r="H90" s="46"/>
      <c r="I90" s="46"/>
      <c r="J90" s="46"/>
      <c r="K90" s="46"/>
      <c r="L90" s="46"/>
    </row>
    <row r="91" spans="8:12" x14ac:dyDescent="0.25">
      <c r="H91" s="46"/>
      <c r="I91" s="46"/>
      <c r="J91" s="46"/>
      <c r="K91" s="46"/>
      <c r="L91" s="46"/>
    </row>
    <row r="92" spans="8:12" x14ac:dyDescent="0.25">
      <c r="H92" s="46"/>
      <c r="I92" s="46"/>
      <c r="J92" s="46"/>
      <c r="K92" s="46"/>
      <c r="L92" s="46"/>
    </row>
    <row r="93" spans="8:12" x14ac:dyDescent="0.25">
      <c r="H93" s="46"/>
      <c r="I93" s="46"/>
      <c r="J93" s="46"/>
      <c r="K93" s="46"/>
      <c r="L93" s="46"/>
    </row>
    <row r="94" spans="8:12" x14ac:dyDescent="0.25">
      <c r="H94" s="46"/>
      <c r="I94" s="46"/>
      <c r="J94" s="46"/>
      <c r="K94" s="46"/>
      <c r="L94" s="46"/>
    </row>
    <row r="95" spans="8:12" x14ac:dyDescent="0.25">
      <c r="H95" s="46"/>
      <c r="I95" s="46"/>
      <c r="J95" s="46"/>
      <c r="K95" s="46"/>
      <c r="L95" s="46"/>
    </row>
    <row r="96" spans="8:12" x14ac:dyDescent="0.25">
      <c r="H96" s="46"/>
      <c r="I96" s="46"/>
      <c r="J96" s="46"/>
      <c r="K96" s="46"/>
      <c r="L96" s="46"/>
    </row>
    <row r="97" spans="8:12" x14ac:dyDescent="0.25">
      <c r="H97" s="46"/>
      <c r="I97" s="46"/>
      <c r="J97" s="46"/>
      <c r="K97" s="46"/>
      <c r="L97" s="46"/>
    </row>
    <row r="98" spans="8:12" x14ac:dyDescent="0.25">
      <c r="H98" s="46"/>
      <c r="I98" s="46"/>
      <c r="J98" s="46"/>
      <c r="K98" s="46"/>
      <c r="L98" s="46"/>
    </row>
    <row r="99" spans="8:12" x14ac:dyDescent="0.25">
      <c r="H99" s="46"/>
      <c r="I99" s="46"/>
      <c r="J99" s="46"/>
      <c r="K99" s="46"/>
      <c r="L99" s="46"/>
    </row>
    <row r="100" spans="8:12" x14ac:dyDescent="0.25">
      <c r="H100" s="46"/>
      <c r="I100" s="46"/>
      <c r="J100" s="46"/>
      <c r="K100" s="46"/>
      <c r="L100" s="46"/>
    </row>
    <row r="101" spans="8:12" x14ac:dyDescent="0.25">
      <c r="H101" s="46"/>
      <c r="I101" s="46"/>
      <c r="J101" s="46"/>
      <c r="K101" s="46"/>
      <c r="L101" s="46"/>
    </row>
    <row r="102" spans="8:12" x14ac:dyDescent="0.25">
      <c r="H102" s="46"/>
      <c r="I102" s="46"/>
      <c r="J102" s="46"/>
      <c r="K102" s="46"/>
      <c r="L102" s="46"/>
    </row>
    <row r="103" spans="8:12" x14ac:dyDescent="0.25">
      <c r="H103" s="46"/>
      <c r="I103" s="46"/>
      <c r="J103" s="46"/>
      <c r="K103" s="46"/>
      <c r="L103" s="46"/>
    </row>
    <row r="104" spans="8:12" x14ac:dyDescent="0.25">
      <c r="H104" s="46"/>
      <c r="I104" s="46"/>
      <c r="J104" s="46"/>
      <c r="K104" s="46"/>
      <c r="L104" s="46"/>
    </row>
    <row r="105" spans="8:12" x14ac:dyDescent="0.25">
      <c r="H105" s="46"/>
      <c r="I105" s="46"/>
      <c r="J105" s="46"/>
      <c r="K105" s="46"/>
      <c r="L105" s="46"/>
    </row>
    <row r="106" spans="8:12" x14ac:dyDescent="0.25">
      <c r="H106" s="46"/>
      <c r="I106" s="46"/>
      <c r="J106" s="46"/>
      <c r="K106" s="46"/>
      <c r="L106" s="46"/>
    </row>
    <row r="107" spans="8:12" x14ac:dyDescent="0.25">
      <c r="H107" s="46"/>
      <c r="I107" s="46"/>
      <c r="J107" s="46"/>
      <c r="K107" s="46"/>
      <c r="L107" s="46"/>
    </row>
    <row r="108" spans="8:12" x14ac:dyDescent="0.25">
      <c r="H108" s="46"/>
      <c r="I108" s="46"/>
      <c r="J108" s="46"/>
      <c r="K108" s="46"/>
      <c r="L108" s="46"/>
    </row>
    <row r="109" spans="8:12" x14ac:dyDescent="0.25">
      <c r="H109" s="46"/>
      <c r="I109" s="46"/>
      <c r="J109" s="46"/>
      <c r="K109" s="46"/>
      <c r="L109" s="46"/>
    </row>
    <row r="110" spans="8:12" x14ac:dyDescent="0.25">
      <c r="H110" s="46"/>
      <c r="I110" s="46"/>
      <c r="J110" s="46"/>
      <c r="K110" s="46"/>
      <c r="L110" s="46"/>
    </row>
    <row r="111" spans="8:12" x14ac:dyDescent="0.25">
      <c r="H111" s="46"/>
      <c r="I111" s="46"/>
      <c r="J111" s="46"/>
      <c r="K111" s="46"/>
      <c r="L111" s="46"/>
    </row>
    <row r="112" spans="8:12" x14ac:dyDescent="0.25">
      <c r="H112" s="46"/>
      <c r="I112" s="46"/>
      <c r="J112" s="46"/>
      <c r="K112" s="46"/>
      <c r="L112" s="46"/>
    </row>
    <row r="113" spans="8:12" x14ac:dyDescent="0.25">
      <c r="H113" s="46"/>
      <c r="I113" s="46"/>
      <c r="J113" s="46"/>
      <c r="K113" s="46"/>
      <c r="L113" s="46"/>
    </row>
    <row r="114" spans="8:12" x14ac:dyDescent="0.25">
      <c r="H114" s="46"/>
      <c r="I114" s="46"/>
      <c r="J114" s="46"/>
      <c r="K114" s="46"/>
      <c r="L114" s="46"/>
    </row>
    <row r="115" spans="8:12" x14ac:dyDescent="0.25">
      <c r="H115" s="46"/>
      <c r="I115" s="46"/>
      <c r="J115" s="46"/>
      <c r="K115" s="46"/>
      <c r="L115" s="46"/>
    </row>
  </sheetData>
  <mergeCells count="20">
    <mergeCell ref="P1:P2"/>
    <mergeCell ref="T1:T2"/>
    <mergeCell ref="J1:J2"/>
    <mergeCell ref="A1:A2"/>
    <mergeCell ref="K1:K2"/>
    <mergeCell ref="L1:L2"/>
    <mergeCell ref="M1:M2"/>
    <mergeCell ref="N1:N2"/>
    <mergeCell ref="Q1:Q2"/>
    <mergeCell ref="R1:R2"/>
    <mergeCell ref="S1:S2"/>
    <mergeCell ref="O1:O2"/>
    <mergeCell ref="A73:B73"/>
    <mergeCell ref="I1:I2"/>
    <mergeCell ref="B1:B2"/>
    <mergeCell ref="C1:C2"/>
    <mergeCell ref="D1:E1"/>
    <mergeCell ref="F1:F2"/>
    <mergeCell ref="G1:G2"/>
    <mergeCell ref="H1:H2"/>
  </mergeCells>
  <pageMargins left="0.70866141732283472" right="0.70866141732283472" top="0.74803149606299213" bottom="0.74803149606299213" header="0.31496062992125984" footer="0.31496062992125984"/>
  <pageSetup paperSize="5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opLeftCell="A46" workbookViewId="0">
      <selection activeCell="I66" sqref="I66"/>
    </sheetView>
  </sheetViews>
  <sheetFormatPr baseColWidth="10" defaultRowHeight="15" x14ac:dyDescent="0.25"/>
  <cols>
    <col min="1" max="1" width="23.85546875" customWidth="1"/>
    <col min="2" max="2" width="20.140625" customWidth="1"/>
    <col min="3" max="3" width="17.42578125" customWidth="1"/>
    <col min="4" max="4" width="14.85546875" customWidth="1"/>
  </cols>
  <sheetData>
    <row r="1" spans="1:3" ht="15.75" x14ac:dyDescent="0.25">
      <c r="A1" s="121" t="s">
        <v>311</v>
      </c>
      <c r="B1" s="121"/>
      <c r="C1" s="121"/>
    </row>
    <row r="2" spans="1:3" x14ac:dyDescent="0.25">
      <c r="A2" s="115" t="s">
        <v>0</v>
      </c>
      <c r="B2" s="115" t="s">
        <v>312</v>
      </c>
      <c r="C2" s="115" t="s">
        <v>313</v>
      </c>
    </row>
    <row r="3" spans="1:3" x14ac:dyDescent="0.25">
      <c r="A3" s="115"/>
      <c r="B3" s="115"/>
      <c r="C3" s="115"/>
    </row>
    <row r="4" spans="1:3" x14ac:dyDescent="0.25">
      <c r="A4" s="65">
        <v>1</v>
      </c>
      <c r="B4" s="66" t="s">
        <v>314</v>
      </c>
      <c r="C4" s="67">
        <v>9154490000</v>
      </c>
    </row>
    <row r="5" spans="1:3" x14ac:dyDescent="0.25">
      <c r="A5" s="1" t="s">
        <v>3</v>
      </c>
      <c r="B5" s="2" t="s">
        <v>4</v>
      </c>
      <c r="C5" s="3">
        <v>1600000000</v>
      </c>
    </row>
    <row r="6" spans="1:3" x14ac:dyDescent="0.25">
      <c r="A6" s="1" t="s">
        <v>7</v>
      </c>
      <c r="B6" s="2" t="s">
        <v>8</v>
      </c>
      <c r="C6" s="3">
        <v>7554490000</v>
      </c>
    </row>
    <row r="7" spans="1:3" x14ac:dyDescent="0.25">
      <c r="A7" s="68" t="s">
        <v>136</v>
      </c>
      <c r="B7" s="66" t="s">
        <v>137</v>
      </c>
      <c r="C7" s="67">
        <f>C8+C9+C10+C11+C12</f>
        <v>3423000000</v>
      </c>
    </row>
    <row r="8" spans="1:3" x14ac:dyDescent="0.25">
      <c r="A8" s="1" t="s">
        <v>138</v>
      </c>
      <c r="B8" s="2" t="s">
        <v>139</v>
      </c>
      <c r="C8" s="3">
        <v>0</v>
      </c>
    </row>
    <row r="9" spans="1:3" x14ac:dyDescent="0.25">
      <c r="A9" s="1" t="s">
        <v>140</v>
      </c>
      <c r="B9" s="2" t="s">
        <v>141</v>
      </c>
      <c r="C9" s="3">
        <v>3400000000</v>
      </c>
    </row>
    <row r="10" spans="1:3" x14ac:dyDescent="0.25">
      <c r="A10" s="1" t="s">
        <v>150</v>
      </c>
      <c r="B10" s="2" t="s">
        <v>151</v>
      </c>
      <c r="C10" s="3">
        <v>12000000</v>
      </c>
    </row>
    <row r="11" spans="1:3" x14ac:dyDescent="0.25">
      <c r="A11" s="1" t="s">
        <v>152</v>
      </c>
      <c r="B11" s="2" t="s">
        <v>153</v>
      </c>
      <c r="C11" s="3">
        <v>1000000</v>
      </c>
    </row>
    <row r="12" spans="1:3" x14ac:dyDescent="0.25">
      <c r="A12" s="1" t="s">
        <v>154</v>
      </c>
      <c r="B12" s="2" t="s">
        <v>155</v>
      </c>
      <c r="C12" s="3">
        <v>10000000</v>
      </c>
    </row>
    <row r="13" spans="1:3" x14ac:dyDescent="0.25">
      <c r="A13" s="122" t="s">
        <v>315</v>
      </c>
      <c r="B13" s="122"/>
      <c r="C13" s="64">
        <f>C4+C7</f>
        <v>12577490000</v>
      </c>
    </row>
    <row r="15" spans="1:3" ht="24.75" x14ac:dyDescent="0.25">
      <c r="A15" s="116" t="s">
        <v>332</v>
      </c>
      <c r="B15" s="116"/>
      <c r="C15" s="116"/>
    </row>
    <row r="16" spans="1:3" ht="15" customHeight="1" x14ac:dyDescent="0.25">
      <c r="A16" s="117" t="s">
        <v>318</v>
      </c>
      <c r="B16" s="117" t="s">
        <v>316</v>
      </c>
      <c r="C16" s="117" t="s">
        <v>317</v>
      </c>
    </row>
    <row r="17" spans="1:4" ht="18" customHeight="1" x14ac:dyDescent="0.25">
      <c r="A17" s="118"/>
      <c r="B17" s="118"/>
      <c r="C17" s="118"/>
    </row>
    <row r="18" spans="1:4" ht="15.75" x14ac:dyDescent="0.25">
      <c r="A18" s="69">
        <v>12577490000</v>
      </c>
      <c r="B18" s="69">
        <v>5885458272</v>
      </c>
      <c r="C18" s="70">
        <v>0.46700000000000003</v>
      </c>
    </row>
    <row r="20" spans="1:4" ht="24.75" x14ac:dyDescent="0.25">
      <c r="A20" s="116" t="s">
        <v>333</v>
      </c>
      <c r="B20" s="116"/>
      <c r="C20" s="116"/>
    </row>
    <row r="21" spans="1:4" x14ac:dyDescent="0.25">
      <c r="A21" s="117" t="s">
        <v>319</v>
      </c>
      <c r="B21" s="117" t="s">
        <v>316</v>
      </c>
      <c r="C21" s="117" t="s">
        <v>317</v>
      </c>
    </row>
    <row r="22" spans="1:4" x14ac:dyDescent="0.25">
      <c r="A22" s="118"/>
      <c r="B22" s="118"/>
      <c r="C22" s="118"/>
    </row>
    <row r="23" spans="1:4" ht="15.75" x14ac:dyDescent="0.25">
      <c r="A23" s="69">
        <v>6288745000</v>
      </c>
      <c r="B23" s="69">
        <v>5885458272</v>
      </c>
      <c r="C23" s="70">
        <v>0.93500000000000005</v>
      </c>
    </row>
    <row r="25" spans="1:4" x14ac:dyDescent="0.25">
      <c r="A25" s="119" t="s">
        <v>312</v>
      </c>
      <c r="B25" s="119" t="s">
        <v>320</v>
      </c>
      <c r="C25" s="119" t="s">
        <v>321</v>
      </c>
      <c r="D25" s="119" t="s">
        <v>317</v>
      </c>
    </row>
    <row r="26" spans="1:4" x14ac:dyDescent="0.25">
      <c r="A26" s="120"/>
      <c r="B26" s="120"/>
      <c r="C26" s="120"/>
      <c r="D26" s="120"/>
    </row>
    <row r="27" spans="1:4" ht="16.5" x14ac:dyDescent="0.3">
      <c r="A27" s="71" t="s">
        <v>322</v>
      </c>
      <c r="B27" s="72">
        <v>800000000</v>
      </c>
      <c r="C27" s="72">
        <v>1533316326</v>
      </c>
      <c r="D27" s="73">
        <f>C27/B27*100</f>
        <v>191.66454074999999</v>
      </c>
    </row>
    <row r="28" spans="1:4" ht="16.5" x14ac:dyDescent="0.3">
      <c r="A28" s="71" t="s">
        <v>323</v>
      </c>
      <c r="B28" s="72">
        <f>'EJEING 2022'!C5/2</f>
        <v>3777245000</v>
      </c>
      <c r="C28" s="72">
        <v>3080537899</v>
      </c>
      <c r="D28" s="73">
        <f t="shared" ref="D28:D29" si="0">C28/B28*100</f>
        <v>81.55515194275192</v>
      </c>
    </row>
    <row r="29" spans="1:4" ht="16.5" x14ac:dyDescent="0.3">
      <c r="A29" s="71" t="s">
        <v>324</v>
      </c>
      <c r="B29" s="72">
        <v>1711500000</v>
      </c>
      <c r="C29" s="72">
        <v>1271604047</v>
      </c>
      <c r="D29" s="73">
        <f t="shared" si="0"/>
        <v>74.297636400818007</v>
      </c>
    </row>
    <row r="31" spans="1:4" ht="15.75" x14ac:dyDescent="0.25">
      <c r="A31" s="121" t="s">
        <v>327</v>
      </c>
      <c r="B31" s="121"/>
      <c r="C31" s="121"/>
    </row>
    <row r="32" spans="1:4" x14ac:dyDescent="0.25">
      <c r="A32" s="115" t="s">
        <v>0</v>
      </c>
      <c r="B32" s="115" t="s">
        <v>312</v>
      </c>
      <c r="C32" s="115" t="s">
        <v>313</v>
      </c>
    </row>
    <row r="33" spans="1:3" x14ac:dyDescent="0.25">
      <c r="A33" s="115"/>
      <c r="B33" s="115"/>
      <c r="C33" s="115"/>
    </row>
    <row r="34" spans="1:3" ht="19.5" x14ac:dyDescent="0.4">
      <c r="A34" s="74" t="s">
        <v>171</v>
      </c>
      <c r="B34" s="75" t="s">
        <v>172</v>
      </c>
      <c r="C34" s="25">
        <v>10793480000</v>
      </c>
    </row>
    <row r="35" spans="1:3" ht="19.5" x14ac:dyDescent="0.4">
      <c r="A35" s="74" t="s">
        <v>285</v>
      </c>
      <c r="B35" s="75" t="s">
        <v>284</v>
      </c>
      <c r="C35" s="3">
        <v>0</v>
      </c>
    </row>
    <row r="36" spans="1:3" ht="19.5" x14ac:dyDescent="0.4">
      <c r="A36" s="74" t="s">
        <v>326</v>
      </c>
      <c r="B36" s="75" t="s">
        <v>325</v>
      </c>
      <c r="C36" s="25">
        <v>1784010000</v>
      </c>
    </row>
    <row r="37" spans="1:3" x14ac:dyDescent="0.25">
      <c r="A37" s="76" t="s">
        <v>294</v>
      </c>
      <c r="B37" s="77" t="s">
        <v>295</v>
      </c>
      <c r="C37" s="78">
        <v>850000000</v>
      </c>
    </row>
    <row r="38" spans="1:3" x14ac:dyDescent="0.25">
      <c r="A38" s="76" t="s">
        <v>296</v>
      </c>
      <c r="B38" s="77" t="s">
        <v>297</v>
      </c>
      <c r="C38" s="78">
        <v>337010000</v>
      </c>
    </row>
    <row r="39" spans="1:3" x14ac:dyDescent="0.25">
      <c r="A39" s="76" t="s">
        <v>298</v>
      </c>
      <c r="B39" s="77" t="s">
        <v>299</v>
      </c>
      <c r="C39" s="78">
        <v>597000000</v>
      </c>
    </row>
    <row r="40" spans="1:3" ht="15.75" x14ac:dyDescent="0.3">
      <c r="A40" s="123" t="s">
        <v>301</v>
      </c>
      <c r="B40" s="124"/>
      <c r="C40" s="79">
        <f>C34+C35+C36</f>
        <v>12577490000</v>
      </c>
    </row>
    <row r="42" spans="1:3" ht="18.75" x14ac:dyDescent="0.3">
      <c r="A42" s="125" t="s">
        <v>327</v>
      </c>
      <c r="B42" s="125"/>
      <c r="C42" s="125"/>
    </row>
    <row r="43" spans="1:3" ht="15.75" x14ac:dyDescent="0.25">
      <c r="A43" s="126" t="s">
        <v>328</v>
      </c>
      <c r="B43" s="126"/>
      <c r="C43" s="126"/>
    </row>
    <row r="44" spans="1:3" x14ac:dyDescent="0.25">
      <c r="A44" s="127" t="s">
        <v>327</v>
      </c>
      <c r="B44" s="127" t="s">
        <v>329</v>
      </c>
      <c r="C44" s="127" t="s">
        <v>330</v>
      </c>
    </row>
    <row r="45" spans="1:3" x14ac:dyDescent="0.25">
      <c r="A45" s="128"/>
      <c r="B45" s="128"/>
      <c r="C45" s="128"/>
    </row>
    <row r="46" spans="1:3" ht="16.5" x14ac:dyDescent="0.3">
      <c r="A46" s="80">
        <v>12577490000</v>
      </c>
      <c r="B46" s="80">
        <v>4965540054</v>
      </c>
      <c r="C46" s="80">
        <f>B46/A46*100</f>
        <v>39.479578628168262</v>
      </c>
    </row>
    <row r="48" spans="1:3" ht="18.75" x14ac:dyDescent="0.3">
      <c r="A48" s="125" t="s">
        <v>327</v>
      </c>
      <c r="B48" s="125"/>
      <c r="C48" s="125"/>
    </row>
    <row r="49" spans="1:3" ht="15.75" x14ac:dyDescent="0.25">
      <c r="A49" s="126" t="s">
        <v>328</v>
      </c>
      <c r="B49" s="126"/>
      <c r="C49" s="126"/>
    </row>
    <row r="50" spans="1:3" x14ac:dyDescent="0.25">
      <c r="A50" s="127" t="s">
        <v>331</v>
      </c>
      <c r="B50" s="127" t="s">
        <v>329</v>
      </c>
      <c r="C50" s="127" t="s">
        <v>330</v>
      </c>
    </row>
    <row r="51" spans="1:3" x14ac:dyDescent="0.25">
      <c r="A51" s="128"/>
      <c r="B51" s="128"/>
      <c r="C51" s="128"/>
    </row>
    <row r="52" spans="1:3" ht="16.5" x14ac:dyDescent="0.3">
      <c r="A52" s="80">
        <v>6288745000</v>
      </c>
      <c r="B52" s="80">
        <v>4965540054</v>
      </c>
      <c r="C52" s="80">
        <f>B52/A52*100</f>
        <v>78.959157256336525</v>
      </c>
    </row>
    <row r="55" spans="1:3" ht="16.5" x14ac:dyDescent="0.3">
      <c r="A55" s="75" t="s">
        <v>172</v>
      </c>
      <c r="B55" s="25">
        <v>4715140054</v>
      </c>
    </row>
    <row r="56" spans="1:3" ht="15.75" x14ac:dyDescent="0.25">
      <c r="A56" s="75" t="s">
        <v>284</v>
      </c>
      <c r="B56" s="3">
        <v>0</v>
      </c>
    </row>
    <row r="57" spans="1:3" ht="16.5" x14ac:dyDescent="0.3">
      <c r="A57" s="75" t="s">
        <v>334</v>
      </c>
      <c r="B57" s="25">
        <v>250400000</v>
      </c>
    </row>
    <row r="64" spans="1:3" ht="15.75" thickBot="1" x14ac:dyDescent="0.3"/>
    <row r="65" spans="1:5" x14ac:dyDescent="0.25">
      <c r="A65" s="113" t="s">
        <v>312</v>
      </c>
      <c r="B65" s="113" t="s">
        <v>346</v>
      </c>
      <c r="C65" s="113" t="s">
        <v>347</v>
      </c>
      <c r="D65" s="113" t="s">
        <v>344</v>
      </c>
      <c r="E65" s="88"/>
    </row>
    <row r="66" spans="1:5" ht="15.75" thickBot="1" x14ac:dyDescent="0.3">
      <c r="A66" s="114"/>
      <c r="B66" s="114"/>
      <c r="C66" s="114"/>
      <c r="D66" s="114"/>
      <c r="E66" s="88"/>
    </row>
    <row r="67" spans="1:5" ht="15.75" thickBot="1" x14ac:dyDescent="0.3">
      <c r="A67" s="89" t="s">
        <v>322</v>
      </c>
      <c r="B67" s="90">
        <v>1757146740.8333335</v>
      </c>
      <c r="C67" s="90">
        <v>1936690321</v>
      </c>
      <c r="D67" s="91">
        <v>1.1000000000000001</v>
      </c>
      <c r="E67" s="88"/>
    </row>
    <row r="68" spans="1:5" ht="15.75" thickBot="1" x14ac:dyDescent="0.3">
      <c r="A68" s="89" t="s">
        <v>323</v>
      </c>
      <c r="B68" s="90">
        <v>6295408333.333334</v>
      </c>
      <c r="C68" s="90">
        <v>4995856816</v>
      </c>
      <c r="D68" s="91">
        <v>0.79300000000000004</v>
      </c>
      <c r="E68" s="88"/>
    </row>
    <row r="69" spans="1:5" ht="15.75" thickBot="1" x14ac:dyDescent="0.3">
      <c r="A69" s="89" t="s">
        <v>345</v>
      </c>
      <c r="B69" s="90">
        <v>2852500000</v>
      </c>
      <c r="C69" s="90">
        <v>2568348957</v>
      </c>
      <c r="D69" s="91">
        <v>0.9</v>
      </c>
      <c r="E69" s="88"/>
    </row>
  </sheetData>
  <mergeCells count="36">
    <mergeCell ref="A49:C49"/>
    <mergeCell ref="A50:A51"/>
    <mergeCell ref="B50:B51"/>
    <mergeCell ref="C50:C51"/>
    <mergeCell ref="A43:C43"/>
    <mergeCell ref="A44:A45"/>
    <mergeCell ref="B44:B45"/>
    <mergeCell ref="C44:C45"/>
    <mergeCell ref="A48:C48"/>
    <mergeCell ref="A32:A33"/>
    <mergeCell ref="B32:B33"/>
    <mergeCell ref="C32:C33"/>
    <mergeCell ref="A40:B40"/>
    <mergeCell ref="A42:C42"/>
    <mergeCell ref="A1:C1"/>
    <mergeCell ref="A13:B13"/>
    <mergeCell ref="A16:A17"/>
    <mergeCell ref="B16:B17"/>
    <mergeCell ref="C16:C17"/>
    <mergeCell ref="A15:C15"/>
    <mergeCell ref="A65:A66"/>
    <mergeCell ref="B65:B66"/>
    <mergeCell ref="C65:C66"/>
    <mergeCell ref="D65:D66"/>
    <mergeCell ref="A2:A3"/>
    <mergeCell ref="B2:B3"/>
    <mergeCell ref="C2:C3"/>
    <mergeCell ref="A20:C20"/>
    <mergeCell ref="A21:A22"/>
    <mergeCell ref="B21:B22"/>
    <mergeCell ref="C21:C22"/>
    <mergeCell ref="A25:A26"/>
    <mergeCell ref="B25:B26"/>
    <mergeCell ref="C25:C26"/>
    <mergeCell ref="D25:D26"/>
    <mergeCell ref="A31:C3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EJEING 2022</vt:lpstr>
      <vt:lpstr>EJEGAS 2022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Herazo</dc:creator>
  <cp:lastModifiedBy>Joaquin Herazo</cp:lastModifiedBy>
  <cp:lastPrinted>2022-08-26T20:45:48Z</cp:lastPrinted>
  <dcterms:created xsi:type="dcterms:W3CDTF">2022-03-04T16:30:02Z</dcterms:created>
  <dcterms:modified xsi:type="dcterms:W3CDTF">2023-04-10T22:30:16Z</dcterms:modified>
</cp:coreProperties>
</file>