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aquin_herazo\Downloads\"/>
    </mc:Choice>
  </mc:AlternateContent>
  <bookViews>
    <workbookView xWindow="0" yWindow="0" windowWidth="24000" windowHeight="9435" tabRatio="663" activeTab="1"/>
  </bookViews>
  <sheets>
    <sheet name="EJEING 2024" sheetId="1" r:id="rId1"/>
    <sheet name="EJEGAS 2024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8" i="1" l="1"/>
  <c r="D18" i="2" l="1"/>
  <c r="D19" i="2"/>
  <c r="D9" i="2"/>
  <c r="E60" i="2"/>
  <c r="R68" i="1" l="1"/>
  <c r="R76" i="1"/>
  <c r="R75" i="1"/>
  <c r="R74" i="1"/>
  <c r="R73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4" i="1"/>
  <c r="Q3" i="1"/>
  <c r="Q5" i="1"/>
  <c r="Q72" i="1"/>
  <c r="Q80" i="1" s="1"/>
  <c r="Q19" i="1"/>
  <c r="Q46" i="1"/>
  <c r="Q69" i="1" l="1"/>
  <c r="Q81" i="1" s="1"/>
  <c r="Q9" i="1"/>
  <c r="T76" i="2" l="1"/>
  <c r="T75" i="2"/>
  <c r="T74" i="2"/>
  <c r="T73" i="2"/>
  <c r="T72" i="2"/>
  <c r="T71" i="2"/>
  <c r="T70" i="2"/>
  <c r="T66" i="2"/>
  <c r="T65" i="2"/>
  <c r="T61" i="2"/>
  <c r="T60" i="2"/>
  <c r="T59" i="2"/>
  <c r="T58" i="2"/>
  <c r="T57" i="2"/>
  <c r="T55" i="2"/>
  <c r="T54" i="2"/>
  <c r="T52" i="2"/>
  <c r="T51" i="2"/>
  <c r="T50" i="2"/>
  <c r="T49" i="2"/>
  <c r="T48" i="2"/>
  <c r="T47" i="2"/>
  <c r="T46" i="2"/>
  <c r="T45" i="2"/>
  <c r="T44" i="2"/>
  <c r="T43" i="2"/>
  <c r="T42" i="2"/>
  <c r="T41" i="2"/>
  <c r="T40" i="2"/>
  <c r="T38" i="2"/>
  <c r="T37" i="2"/>
  <c r="T36" i="2"/>
  <c r="T35" i="2"/>
  <c r="T34" i="2"/>
  <c r="T32" i="2"/>
  <c r="T31" i="2"/>
  <c r="T29" i="2"/>
  <c r="T28" i="2"/>
  <c r="T27" i="2"/>
  <c r="T26" i="2"/>
  <c r="T25" i="2"/>
  <c r="T24" i="2"/>
  <c r="T23" i="2"/>
  <c r="T22" i="2"/>
  <c r="T20" i="2"/>
  <c r="T19" i="2"/>
  <c r="T18" i="2"/>
  <c r="T16" i="2"/>
  <c r="T15" i="2"/>
  <c r="T14" i="2"/>
  <c r="T13" i="2"/>
  <c r="T12" i="2"/>
  <c r="T11" i="2"/>
  <c r="T10" i="2"/>
  <c r="T9" i="2"/>
  <c r="T7" i="2"/>
  <c r="T6" i="2"/>
  <c r="T5" i="2"/>
  <c r="S77" i="2" l="1"/>
  <c r="S56" i="2"/>
  <c r="S53" i="2"/>
  <c r="S39" i="2"/>
  <c r="S33" i="2"/>
  <c r="S30" i="2"/>
  <c r="S21" i="2"/>
  <c r="S17" i="2"/>
  <c r="S8" i="2"/>
  <c r="S4" i="2"/>
  <c r="S62" i="2" l="1"/>
  <c r="S78" i="2" s="1"/>
  <c r="P5" i="1"/>
  <c r="P72" i="1" l="1"/>
  <c r="P80" i="1" s="1"/>
  <c r="P3" i="1"/>
  <c r="P69" i="1" s="1"/>
  <c r="P81" i="1" l="1"/>
  <c r="P76" i="1"/>
  <c r="P68" i="1"/>
  <c r="P9" i="1"/>
  <c r="P19" i="1"/>
  <c r="R77" i="2" l="1"/>
  <c r="R56" i="2"/>
  <c r="R53" i="2"/>
  <c r="R39" i="2"/>
  <c r="R33" i="2"/>
  <c r="R30" i="2"/>
  <c r="R21" i="2"/>
  <c r="R17" i="2"/>
  <c r="R8" i="2"/>
  <c r="R4" i="2"/>
  <c r="P25" i="1"/>
  <c r="R62" i="2" l="1"/>
  <c r="R78" i="2" s="1"/>
  <c r="O3" i="1"/>
  <c r="R78" i="1" l="1"/>
  <c r="R77" i="1"/>
  <c r="O72" i="1" l="1"/>
  <c r="O80" i="1" s="1"/>
  <c r="O5" i="1"/>
  <c r="O69" i="1" s="1"/>
  <c r="O19" i="1"/>
  <c r="O40" i="1"/>
  <c r="O68" i="1"/>
  <c r="O30" i="1"/>
  <c r="O9" i="1"/>
  <c r="O81" i="1" l="1"/>
  <c r="D35" i="2"/>
  <c r="E47" i="2"/>
  <c r="E46" i="2"/>
  <c r="E42" i="2"/>
  <c r="E61" i="2"/>
  <c r="Q17" i="2" l="1"/>
  <c r="P17" i="2"/>
  <c r="O17" i="2"/>
  <c r="Q77" i="2"/>
  <c r="Q53" i="2"/>
  <c r="Q56" i="2"/>
  <c r="Q39" i="2"/>
  <c r="Q33" i="2"/>
  <c r="Q30" i="2"/>
  <c r="Q21" i="2"/>
  <c r="Q8" i="2"/>
  <c r="Q4" i="2"/>
  <c r="Q62" i="2" l="1"/>
  <c r="Q78" i="2" s="1"/>
  <c r="R79" i="1"/>
  <c r="N72" i="1"/>
  <c r="N80" i="1" s="1"/>
  <c r="N5" i="1"/>
  <c r="N3" i="1"/>
  <c r="N42" i="1"/>
  <c r="N40" i="1"/>
  <c r="N19" i="1"/>
  <c r="N11" i="1"/>
  <c r="N68" i="1"/>
  <c r="N25" i="1"/>
  <c r="N69" i="1" l="1"/>
  <c r="N81" i="1"/>
  <c r="P33" i="2"/>
  <c r="O33" i="2"/>
  <c r="P30" i="2"/>
  <c r="O30" i="2"/>
  <c r="P77" i="2" l="1"/>
  <c r="P56" i="2"/>
  <c r="P53" i="2"/>
  <c r="P39" i="2"/>
  <c r="P21" i="2"/>
  <c r="P8" i="2"/>
  <c r="P4" i="2"/>
  <c r="P62" i="2" l="1"/>
  <c r="P78" i="2" s="1"/>
  <c r="T77" i="2"/>
  <c r="O77" i="2"/>
  <c r="N77" i="2"/>
  <c r="M77" i="2"/>
  <c r="L77" i="2"/>
  <c r="K77" i="2"/>
  <c r="J77" i="2"/>
  <c r="I77" i="2"/>
  <c r="H77" i="2"/>
  <c r="F77" i="2"/>
  <c r="O4" i="2"/>
  <c r="O8" i="2"/>
  <c r="O56" i="2" l="1"/>
  <c r="O53" i="2"/>
  <c r="O39" i="2"/>
  <c r="O21" i="2"/>
  <c r="O62" i="2" l="1"/>
  <c r="O78" i="2" s="1"/>
  <c r="M5" i="1"/>
  <c r="M72" i="1"/>
  <c r="M80" i="1" s="1"/>
  <c r="M3" i="1"/>
  <c r="M40" i="1"/>
  <c r="M68" i="1"/>
  <c r="M69" i="1" l="1"/>
  <c r="M81" i="1"/>
  <c r="M30" i="1"/>
  <c r="M9" i="1"/>
  <c r="M19" i="1" l="1"/>
  <c r="L72" i="1" l="1"/>
  <c r="L80" i="1" s="1"/>
  <c r="L3" i="1"/>
  <c r="L19" i="1"/>
  <c r="L68" i="1" l="1"/>
  <c r="L9" i="1" l="1"/>
  <c r="L5" i="1" s="1"/>
  <c r="L69" i="1" s="1"/>
  <c r="L81" i="1" s="1"/>
  <c r="N56" i="2" l="1"/>
  <c r="N53" i="2"/>
  <c r="N39" i="2"/>
  <c r="N33" i="2"/>
  <c r="N30" i="2"/>
  <c r="N21" i="2"/>
  <c r="N17" i="2"/>
  <c r="N8" i="2"/>
  <c r="N4" i="2"/>
  <c r="N62" i="2" l="1"/>
  <c r="N78" i="2" s="1"/>
  <c r="F78" i="2"/>
  <c r="C77" i="2"/>
  <c r="G76" i="2"/>
  <c r="G75" i="2"/>
  <c r="G74" i="2"/>
  <c r="D77" i="2" l="1"/>
  <c r="E77" i="2"/>
  <c r="K72" i="1" l="1"/>
  <c r="K80" i="1" s="1"/>
  <c r="K68" i="1"/>
  <c r="K30" i="1"/>
  <c r="K9" i="1"/>
  <c r="K19" i="1" l="1"/>
  <c r="K25" i="1"/>
  <c r="K11" i="1" l="1"/>
  <c r="J72" i="1"/>
  <c r="J80" i="1" s="1"/>
  <c r="K3" i="1"/>
  <c r="J3" i="1"/>
  <c r="T69" i="2"/>
  <c r="T68" i="2"/>
  <c r="T67" i="2"/>
  <c r="T64" i="2"/>
  <c r="M56" i="2"/>
  <c r="M53" i="2"/>
  <c r="M39" i="2"/>
  <c r="M33" i="2"/>
  <c r="M30" i="2"/>
  <c r="M21" i="2"/>
  <c r="M17" i="2"/>
  <c r="M8" i="2"/>
  <c r="M4" i="2"/>
  <c r="K5" i="1" l="1"/>
  <c r="K69" i="1" s="1"/>
  <c r="K81" i="1" s="1"/>
  <c r="M62" i="2"/>
  <c r="M78" i="2" s="1"/>
  <c r="T39" i="2"/>
  <c r="J9" i="1"/>
  <c r="J68" i="1" l="1"/>
  <c r="J14" i="1"/>
  <c r="J8" i="1" l="1"/>
  <c r="J5" i="1" s="1"/>
  <c r="J69" i="1" s="1"/>
  <c r="J81" i="1" s="1"/>
  <c r="J44" i="1"/>
  <c r="L56" i="2" l="1"/>
  <c r="L53" i="2"/>
  <c r="L39" i="2"/>
  <c r="L33" i="2"/>
  <c r="L30" i="2"/>
  <c r="L21" i="2"/>
  <c r="L17" i="2"/>
  <c r="L8" i="2"/>
  <c r="L4" i="2"/>
  <c r="L62" i="2" l="1"/>
  <c r="L78" i="2" s="1"/>
  <c r="I19" i="1"/>
  <c r="I3" i="1"/>
  <c r="I75" i="1" l="1"/>
  <c r="I41" i="1"/>
  <c r="I68" i="1"/>
  <c r="I72" i="1" l="1"/>
  <c r="I80" i="1" s="1"/>
  <c r="I25" i="1"/>
  <c r="I5" i="1" s="1"/>
  <c r="I69" i="1" s="1"/>
  <c r="I81" i="1" s="1"/>
  <c r="K56" i="2" l="1"/>
  <c r="K53" i="2"/>
  <c r="K39" i="2"/>
  <c r="K33" i="2"/>
  <c r="K30" i="2"/>
  <c r="K21" i="2"/>
  <c r="K17" i="2"/>
  <c r="K8" i="2"/>
  <c r="K4" i="2"/>
  <c r="K62" i="2" l="1"/>
  <c r="K78" i="2" s="1"/>
  <c r="H72" i="1"/>
  <c r="H19" i="1" l="1"/>
  <c r="H8" i="1" l="1"/>
  <c r="H13" i="1"/>
  <c r="H3" i="1" l="1"/>
  <c r="H80" i="1"/>
  <c r="H9" i="1"/>
  <c r="H5" i="1" s="1"/>
  <c r="H25" i="1"/>
  <c r="H69" i="1" l="1"/>
  <c r="H81" i="1" s="1"/>
  <c r="E56" i="2"/>
  <c r="D56" i="2"/>
  <c r="E53" i="2"/>
  <c r="D53" i="2"/>
  <c r="E39" i="2"/>
  <c r="D39" i="2"/>
  <c r="E33" i="2"/>
  <c r="D33" i="2"/>
  <c r="E30" i="2"/>
  <c r="D30" i="2"/>
  <c r="E21" i="2"/>
  <c r="D21" i="2"/>
  <c r="E17" i="2"/>
  <c r="D17" i="2"/>
  <c r="C17" i="2"/>
  <c r="E8" i="2"/>
  <c r="E4" i="2"/>
  <c r="D8" i="2"/>
  <c r="D4" i="2"/>
  <c r="J56" i="2"/>
  <c r="J53" i="2"/>
  <c r="J39" i="2"/>
  <c r="J33" i="2"/>
  <c r="J30" i="2"/>
  <c r="J21" i="2"/>
  <c r="J17" i="2"/>
  <c r="J8" i="2"/>
  <c r="J4" i="2"/>
  <c r="D62" i="2" l="1"/>
  <c r="D78" i="2" s="1"/>
  <c r="E62" i="2"/>
  <c r="J62" i="2"/>
  <c r="J78" i="2" s="1"/>
  <c r="G73" i="1"/>
  <c r="E78" i="2" l="1"/>
  <c r="D63" i="2"/>
  <c r="G72" i="1"/>
  <c r="G80" i="1" s="1"/>
  <c r="G3" i="1"/>
  <c r="R3" i="1"/>
  <c r="G19" i="1" l="1"/>
  <c r="G5" i="1" s="1"/>
  <c r="G69" i="1" s="1"/>
  <c r="G81" i="1" s="1"/>
  <c r="T56" i="2" l="1"/>
  <c r="T53" i="2"/>
  <c r="T33" i="2"/>
  <c r="T30" i="2"/>
  <c r="T21" i="2"/>
  <c r="T17" i="2"/>
  <c r="T8" i="2"/>
  <c r="T4" i="2"/>
  <c r="T62" i="2" l="1"/>
  <c r="I56" i="2"/>
  <c r="I53" i="2"/>
  <c r="T78" i="2" l="1"/>
  <c r="I39" i="2"/>
  <c r="I33" i="2"/>
  <c r="I30" i="2"/>
  <c r="I21" i="2"/>
  <c r="I17" i="2"/>
  <c r="I8" i="2"/>
  <c r="I4" i="2"/>
  <c r="I62" i="2" l="1"/>
  <c r="I78" i="2" s="1"/>
  <c r="G73" i="2" l="1"/>
  <c r="G72" i="2"/>
  <c r="G71" i="2"/>
  <c r="G70" i="2"/>
  <c r="G77" i="2" s="1"/>
  <c r="G61" i="2"/>
  <c r="G60" i="2"/>
  <c r="G59" i="2"/>
  <c r="G58" i="2"/>
  <c r="G57" i="2"/>
  <c r="G55" i="2"/>
  <c r="G54" i="2"/>
  <c r="G53" i="2" s="1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8" i="2"/>
  <c r="G37" i="2"/>
  <c r="G36" i="2"/>
  <c r="G35" i="2"/>
  <c r="G34" i="2"/>
  <c r="G32" i="2"/>
  <c r="G31" i="2"/>
  <c r="G29" i="2"/>
  <c r="G28" i="2"/>
  <c r="G27" i="2"/>
  <c r="G26" i="2"/>
  <c r="G25" i="2"/>
  <c r="G24" i="2"/>
  <c r="G23" i="2"/>
  <c r="G22" i="2"/>
  <c r="G20" i="2"/>
  <c r="G19" i="2"/>
  <c r="G18" i="2"/>
  <c r="G17" i="2"/>
  <c r="G16" i="2"/>
  <c r="G15" i="2"/>
  <c r="G14" i="2"/>
  <c r="G13" i="2"/>
  <c r="G12" i="2"/>
  <c r="G11" i="2"/>
  <c r="G10" i="2"/>
  <c r="G9" i="2"/>
  <c r="G7" i="2"/>
  <c r="G6" i="2"/>
  <c r="G5" i="2"/>
  <c r="H56" i="2"/>
  <c r="H53" i="2"/>
  <c r="H39" i="2"/>
  <c r="H33" i="2"/>
  <c r="H30" i="2"/>
  <c r="H21" i="2"/>
  <c r="H17" i="2"/>
  <c r="H8" i="2"/>
  <c r="H4" i="2"/>
  <c r="G4" i="2" l="1"/>
  <c r="G21" i="2"/>
  <c r="G30" i="2"/>
  <c r="G8" i="2"/>
  <c r="H62" i="2"/>
  <c r="H78" i="2" s="1"/>
  <c r="G39" i="2"/>
  <c r="G33" i="2"/>
  <c r="G56" i="2"/>
  <c r="G62" i="2" l="1"/>
  <c r="G78" i="2" s="1"/>
  <c r="F3" i="1"/>
  <c r="F73" i="1" l="1"/>
  <c r="F68" i="1" l="1"/>
  <c r="F74" i="1"/>
  <c r="F9" i="1"/>
  <c r="F19" i="1"/>
  <c r="F25" i="1"/>
  <c r="F72" i="1" l="1"/>
  <c r="F80" i="1" s="1"/>
  <c r="R5" i="1"/>
  <c r="R69" i="1" s="1"/>
  <c r="F5" i="1"/>
  <c r="F69" i="1" s="1"/>
  <c r="F81" i="1" s="1"/>
  <c r="R72" i="1"/>
  <c r="R80" i="1" s="1"/>
  <c r="C56" i="2"/>
  <c r="C53" i="2"/>
  <c r="C39" i="2"/>
  <c r="C33" i="2"/>
  <c r="C30" i="2"/>
  <c r="C21" i="2"/>
  <c r="C8" i="2"/>
  <c r="C4" i="2"/>
  <c r="C76" i="1"/>
  <c r="C72" i="1"/>
  <c r="C80" i="1" s="1"/>
  <c r="C5" i="1"/>
  <c r="C3" i="1"/>
  <c r="R81" i="1" l="1"/>
  <c r="C69" i="1"/>
  <c r="C81" i="1" s="1"/>
  <c r="C62" i="2"/>
  <c r="C78" i="2" l="1"/>
</calcChain>
</file>

<file path=xl/sharedStrings.xml><?xml version="1.0" encoding="utf-8"?>
<sst xmlns="http://schemas.openxmlformats.org/spreadsheetml/2006/main" count="339" uniqueCount="334">
  <si>
    <t>CODIGO PPTAL</t>
  </si>
  <si>
    <t>DETALLE</t>
  </si>
  <si>
    <t>1.01</t>
  </si>
  <si>
    <t>INGRESOS TRIBUTARIOS</t>
  </si>
  <si>
    <t>1.1.01.01.100</t>
  </si>
  <si>
    <t>IMP. SOBRE VEHICULOS AUTOMOTORES</t>
  </si>
  <si>
    <t>1.02</t>
  </si>
  <si>
    <t>INGRESOS NO TRIBUTARIOS</t>
  </si>
  <si>
    <t>1.1.02.03.001.009</t>
  </si>
  <si>
    <t>MULTAS</t>
  </si>
  <si>
    <t>1.1.02.02.102</t>
  </si>
  <si>
    <t>PORTE DE PLACAS</t>
  </si>
  <si>
    <t>1.1.02.02.103</t>
  </si>
  <si>
    <t>FORMATO DE FACTURACION</t>
  </si>
  <si>
    <t>1.1.02.02.104</t>
  </si>
  <si>
    <t>LICENCIA DE CONDUCCION</t>
  </si>
  <si>
    <t>1.1.02.02.105</t>
  </si>
  <si>
    <t>CERTIFICACION  DE LICENCIAS DE CONDUCCION</t>
  </si>
  <si>
    <t>1.1.02.02.106</t>
  </si>
  <si>
    <t>AVALUOS COMERCIALES</t>
  </si>
  <si>
    <t>1.1.02.02.107</t>
  </si>
  <si>
    <t>LEVANTAMIENTO DE CROQUIS</t>
  </si>
  <si>
    <t>1.1.02.02.108</t>
  </si>
  <si>
    <t>SERVICIO DE GRUA</t>
  </si>
  <si>
    <t>1.1.02.02.109</t>
  </si>
  <si>
    <t>GARAJE Y PARQUEO</t>
  </si>
  <si>
    <t>1.1.02.02.110</t>
  </si>
  <si>
    <t>SERVICIO DE ALFEREZ</t>
  </si>
  <si>
    <t>1.1.02.02.111</t>
  </si>
  <si>
    <t>PRUEBA DE ALCOHOLEMIA</t>
  </si>
  <si>
    <t>1.1.02.02.112</t>
  </si>
  <si>
    <t>CHEQUEOS OTRAS PLAZAS</t>
  </si>
  <si>
    <t>1.1.02.02.113</t>
  </si>
  <si>
    <t>1.1.02.02.114</t>
  </si>
  <si>
    <t>MATRICULAS</t>
  </si>
  <si>
    <t>1.1.02.02.115</t>
  </si>
  <si>
    <t>PORTE Y TELEGRAMAS</t>
  </si>
  <si>
    <t>1.1.02.02.116</t>
  </si>
  <si>
    <t>TRASPASO</t>
  </si>
  <si>
    <t>1.1.02.02.117</t>
  </si>
  <si>
    <t>RADICACION DE CUENTA</t>
  </si>
  <si>
    <t>1.1.02.02.118</t>
  </si>
  <si>
    <t>TRASLADO DE CUENTA</t>
  </si>
  <si>
    <t>1.1.02.02.119</t>
  </si>
  <si>
    <t>CANCELACION MATRICULA</t>
  </si>
  <si>
    <t>1.1.02.02.120</t>
  </si>
  <si>
    <t>CERTIFICADO DE TRADICION</t>
  </si>
  <si>
    <t>1.1.02.02.121</t>
  </si>
  <si>
    <t>CERTIFICADO DE PROPIEDAD</t>
  </si>
  <si>
    <t>1.1.02.02.122</t>
  </si>
  <si>
    <t>EMBARGOS Y DESEMBARGOS</t>
  </si>
  <si>
    <t>1.1.02.02.123</t>
  </si>
  <si>
    <t>PIGNORACION</t>
  </si>
  <si>
    <t>1.1.02.02.124</t>
  </si>
  <si>
    <t>DESPIGNORACION</t>
  </si>
  <si>
    <t>1.1.02.02.125</t>
  </si>
  <si>
    <t>DUPLICADO DE LICENCIAS TRANSITO</t>
  </si>
  <si>
    <t>1.1.02.02.126</t>
  </si>
  <si>
    <t>REGRABACION</t>
  </si>
  <si>
    <t>1.1.02.02.127</t>
  </si>
  <si>
    <t>DUPLICADO DE PLACAS</t>
  </si>
  <si>
    <t>1.1.02.02.128</t>
  </si>
  <si>
    <t>CAMBIO DE PLACAS</t>
  </si>
  <si>
    <t>1.1.02.02.129</t>
  </si>
  <si>
    <t>CAMBIO DE MOTOR</t>
  </si>
  <si>
    <t>1.1.02.02.130</t>
  </si>
  <si>
    <t>CAMBIO DE SERVICIO</t>
  </si>
  <si>
    <t>1.1.02.02.131</t>
  </si>
  <si>
    <t>CAMBIO DE COLOR</t>
  </si>
  <si>
    <t>1.1.02.02.132</t>
  </si>
  <si>
    <t>CAMBIO  DE CARROCERIA</t>
  </si>
  <si>
    <t>1.1.02.02.133</t>
  </si>
  <si>
    <t>CAMBIO DE EMPRESA</t>
  </si>
  <si>
    <t>1.1.02.02.134</t>
  </si>
  <si>
    <t>CAPACIDAD TRANSPORTADORA</t>
  </si>
  <si>
    <t>1.1.02.02.135</t>
  </si>
  <si>
    <t>REGISTRO DE TRAMITE</t>
  </si>
  <si>
    <t>1.1.02.02.136</t>
  </si>
  <si>
    <t>TARJETA DE  OPERACIÓN TAXI</t>
  </si>
  <si>
    <t>1.1.02.02.137</t>
  </si>
  <si>
    <t>TARJETA DE  OPERACIÓN DE BUSES</t>
  </si>
  <si>
    <t>1.1.02.02.138</t>
  </si>
  <si>
    <t>EXPERTICIO TECNICO</t>
  </si>
  <si>
    <t>1.1.02.02.139</t>
  </si>
  <si>
    <t>FOTOCOPIAS CERTIFICADAS</t>
  </si>
  <si>
    <t>1.1.02.02.140</t>
  </si>
  <si>
    <t>SIN PENDIENTE</t>
  </si>
  <si>
    <t>1.1.02.02.141</t>
  </si>
  <si>
    <t>REPOTENCIACION</t>
  </si>
  <si>
    <t>1.1.02.02.142</t>
  </si>
  <si>
    <t>REGISTRO FOTOGRAFICO</t>
  </si>
  <si>
    <t>1.1.02.02.143</t>
  </si>
  <si>
    <t>REGISTRO POR RECUPERACION EN CASO DE HURTO O PERDIDA DEFINITIVA</t>
  </si>
  <si>
    <t>1.1.02.02.144</t>
  </si>
  <si>
    <t>HABILITACION EMPRESA PERSONA NATURAL</t>
  </si>
  <si>
    <t>1.1.02.02.145</t>
  </si>
  <si>
    <t>HABILITACION EMPRESA PERSONA JURIDICA</t>
  </si>
  <si>
    <t>1.1.02.02.146</t>
  </si>
  <si>
    <t>DESVINCULACION POR MUTUO ACUERDO</t>
  </si>
  <si>
    <t>1.1.02.02.147</t>
  </si>
  <si>
    <t>PAZ Y SALVO</t>
  </si>
  <si>
    <t>1.1.02.02.148</t>
  </si>
  <si>
    <t>REAVALUO</t>
  </si>
  <si>
    <t>1.1.02.02.149</t>
  </si>
  <si>
    <t>RENOVACION DE LICENCIAS DE TRANSITO</t>
  </si>
  <si>
    <t>1.1.02.02.150</t>
  </si>
  <si>
    <t>DUPLICADO O RENOVACION TARJETA DE REGISTRO</t>
  </si>
  <si>
    <t>1.1.02.02.151</t>
  </si>
  <si>
    <t>BLINDAJE Y DESMONTE</t>
  </si>
  <si>
    <t>1.1.02.02.152</t>
  </si>
  <si>
    <t>MODIFICACION DEL PRENDARIO POR ACREEDOR O PROPIETARIO</t>
  </si>
  <si>
    <t>1.1.02.02.153</t>
  </si>
  <si>
    <t>TRANSFORMACION</t>
  </si>
  <si>
    <t>1.1.02.02.154</t>
  </si>
  <si>
    <t>REMATRICULA</t>
  </si>
  <si>
    <t>1.1.02.02.155</t>
  </si>
  <si>
    <t>CONVERSION A GAS NATURAL</t>
  </si>
  <si>
    <t>1.1.02.02.156</t>
  </si>
  <si>
    <t>REGISTRO INICIAL MAQUINARIA AGRICOLA, INDUSTRIAL Y  DE CONSTRUCCION</t>
  </si>
  <si>
    <t>1.1.02.02.157</t>
  </si>
  <si>
    <t>CAMBIO DE PROPIETARIO MAQUINARIA INDUSTRIAL</t>
  </si>
  <si>
    <t>1.1.02.02.158</t>
  </si>
  <si>
    <t>REFACTURACION</t>
  </si>
  <si>
    <t>1.1.02.02.159</t>
  </si>
  <si>
    <t>CONVENIOS</t>
  </si>
  <si>
    <t>1.1.02.02.160</t>
  </si>
  <si>
    <t>DEMARCACIONES</t>
  </si>
  <si>
    <t>1.1.02.02.161</t>
  </si>
  <si>
    <t>PERMISOS</t>
  </si>
  <si>
    <t>1.1.02.02.162</t>
  </si>
  <si>
    <t>TASA DE SEMAFORIZACION</t>
  </si>
  <si>
    <t>1.1.02.02.163</t>
  </si>
  <si>
    <t>OTROS INGRESOS</t>
  </si>
  <si>
    <t>TOTAL INGRESOS CORRIENTES DE LA I.T.T.B</t>
  </si>
  <si>
    <t>1.2</t>
  </si>
  <si>
    <t>RECURSOS DEL CAPITAL</t>
  </si>
  <si>
    <t>1.2.07</t>
  </si>
  <si>
    <t>RECURSOS DEL CREDITO</t>
  </si>
  <si>
    <t>1.2.09</t>
  </si>
  <si>
    <t>RECUPERACION DE CARTERA</t>
  </si>
  <si>
    <t>1.2.09.01</t>
  </si>
  <si>
    <t>Recuperacion cartera  comparendos</t>
  </si>
  <si>
    <t>1.2.09.02</t>
  </si>
  <si>
    <t>Recuperacion cartera  intereses</t>
  </si>
  <si>
    <t>1.2.09.03</t>
  </si>
  <si>
    <t>Recuperacion cartera porte de placas</t>
  </si>
  <si>
    <t>1.2.09.04</t>
  </si>
  <si>
    <t>Recuperacion cartera Sistematizacion y Facturacion</t>
  </si>
  <si>
    <t>1.2.05</t>
  </si>
  <si>
    <t>RENDIMIENTO FINANCIERO</t>
  </si>
  <si>
    <t>1,2,01</t>
  </si>
  <si>
    <t>VENTA DE ACTIVO</t>
  </si>
  <si>
    <t>1.2.10</t>
  </si>
  <si>
    <t>RECURSOS DEL BALANCE</t>
  </si>
  <si>
    <t>TOTAL INGRESOS CAPITAL DE LA I.T.T.B</t>
  </si>
  <si>
    <t xml:space="preserve"> PROYECTO PPTO 2024</t>
  </si>
  <si>
    <t>TOTAL PRESUPUESTO INGRESOS 2024</t>
  </si>
  <si>
    <t>ADICION PRESUPUESTAL</t>
  </si>
  <si>
    <t>PRESUPUESTO AJUSTADO</t>
  </si>
  <si>
    <t>RECAUDO ENERO 2024</t>
  </si>
  <si>
    <t>CODIGO CCPET</t>
  </si>
  <si>
    <t xml:space="preserve">CONCEPTO </t>
  </si>
  <si>
    <t>2.1</t>
  </si>
  <si>
    <t>GASTOS DE FUNCIONAMIENTO</t>
  </si>
  <si>
    <t>2.1.1</t>
  </si>
  <si>
    <t>GASTOS DE PERSONAL</t>
  </si>
  <si>
    <t>2.1.1.01.01.001.01</t>
  </si>
  <si>
    <t>SUELDO BASICO</t>
  </si>
  <si>
    <t>2.1.1.01.01.001.06</t>
  </si>
  <si>
    <t>PRIMA DE SERVICIOS</t>
  </si>
  <si>
    <t>2.1.1.01.01.001.07</t>
  </si>
  <si>
    <t xml:space="preserve">BONIFICACION POR SERVICIOS PRESTADOS </t>
  </si>
  <si>
    <t>2.1.1.01.01.001.08</t>
  </si>
  <si>
    <t>PRESTACIONES SOCIALES</t>
  </si>
  <si>
    <t>2.1.1.01.01.001.08.01</t>
  </si>
  <si>
    <t>PRIMA DE NAVIDAD</t>
  </si>
  <si>
    <t>2.1.1.01.01.001.08.02</t>
  </si>
  <si>
    <t>PRIMA DE VACACIONES</t>
  </si>
  <si>
    <t>2.1.1.01.03.001.02</t>
  </si>
  <si>
    <t>INDEMNIZACION POR VACACIONES</t>
  </si>
  <si>
    <t>2.1.1.01.01.001.04</t>
  </si>
  <si>
    <t>SUBSIDIO DE ALIMENTACION</t>
  </si>
  <si>
    <t>2.1.1.01.03.001.03</t>
  </si>
  <si>
    <t>BONIFICACION ESPECIAL POR RECREACION</t>
  </si>
  <si>
    <t>2.1.1.01.01.001.05</t>
  </si>
  <si>
    <t>AUXILIO DE TRANSPORTE</t>
  </si>
  <si>
    <t>2.1.1.01.03.029</t>
  </si>
  <si>
    <t>BONIFICACION POR SEGURO DE VIDA COLECTIVO</t>
  </si>
  <si>
    <t>2.1.1.01.01.001.02</t>
  </si>
  <si>
    <t>HORAS EXTRAS, DOMINICALES,FESTIVOS, RECARGOS</t>
  </si>
  <si>
    <t>2.1.1.02</t>
  </si>
  <si>
    <t>SERVICIOS PERSONALES INDIRECTOS</t>
  </si>
  <si>
    <t>2.1.1.01.01.002</t>
  </si>
  <si>
    <t>REMUNERACION POR SERVICIOS TECNICOS Y PROFESIONALES</t>
  </si>
  <si>
    <t>2.1.1.02.01.001.01</t>
  </si>
  <si>
    <t>PERSONAL TEMPORAL Y SUPERNUMERARIO SUELDO BASICO</t>
  </si>
  <si>
    <t>2.1.1.02.01.001.03</t>
  </si>
  <si>
    <t>GASTOS DE REPRESENTACIÓN (OTROS GASTOS POR SERVICIOS PERSONALES)</t>
  </si>
  <si>
    <t>2.1.1.02.02</t>
  </si>
  <si>
    <t>CONTRIBUCIONES INHERENTES A LA NOMINA SECTOR PRIVADO</t>
  </si>
  <si>
    <t>2.1.1.02.02.001</t>
  </si>
  <si>
    <t>APORTES A LA SEGURIDAD SOCIAL EN PENSION</t>
  </si>
  <si>
    <t>2.1.1.02.02.002</t>
  </si>
  <si>
    <t>APORTES A LA SEGURIDAD SOCIAL EN SALUD</t>
  </si>
  <si>
    <t>2.1.1.02.02.005</t>
  </si>
  <si>
    <t>APORTES GENERALES AL SISTEMA DE RIESGOS LABORALES</t>
  </si>
  <si>
    <t>2.1.1.02.02.004</t>
  </si>
  <si>
    <t>CAJA DECOMPENSACIÒN FAMILIAR (4%)</t>
  </si>
  <si>
    <t>2.1.1.02.02.006</t>
  </si>
  <si>
    <t>APORTES AL INST. COL. BIENESTAR FAMILIAR (3%)</t>
  </si>
  <si>
    <t>2.1.1.02.02.007</t>
  </si>
  <si>
    <t>APORTES AL SENA (2%)</t>
  </si>
  <si>
    <t>2.1.1.02.02.008</t>
  </si>
  <si>
    <t>APORTES A LA ESCUELA SUP. DE ADMON. PUBLICA</t>
  </si>
  <si>
    <t>2.1.1.02.02.009</t>
  </si>
  <si>
    <t>APORTES A ESC. IND. E INST. TEC. DTAL. DIST. Y M/PALES</t>
  </si>
  <si>
    <t>2.1.1.01.02.003</t>
  </si>
  <si>
    <t xml:space="preserve">Aportes de cesantías </t>
  </si>
  <si>
    <t>2.1.1.01.02.003.01</t>
  </si>
  <si>
    <t>CEANTIAS</t>
  </si>
  <si>
    <t>2.1.1.01.02.003.02</t>
  </si>
  <si>
    <t>INTERESES DE CESANTIAS</t>
  </si>
  <si>
    <t>2.1.2.01</t>
  </si>
  <si>
    <t>ADQUISICIÒN DE BIENES</t>
  </si>
  <si>
    <t>2.1.2.01.01.003</t>
  </si>
  <si>
    <t>COMPRA DE EQUIPOS</t>
  </si>
  <si>
    <t>2.1.2.02.01</t>
  </si>
  <si>
    <t xml:space="preserve">MATERIALES Y SUMINISTROS </t>
  </si>
  <si>
    <t>2.1.2.02.01.003</t>
  </si>
  <si>
    <t>IMPRESOS Y PUBLICACIONES</t>
  </si>
  <si>
    <t>2.1.2.02.03</t>
  </si>
  <si>
    <t>GASTOS IMPREVISTOS</t>
  </si>
  <si>
    <t>2.3.2.02.01.003</t>
  </si>
  <si>
    <t>LEY 769 ART 160 (COMBUSTIBLE-EQUIPOS-DOTACION PROY SEG VIAL)</t>
  </si>
  <si>
    <t>2.1.2.02</t>
  </si>
  <si>
    <t>ADQUISICIÒN DE SERVICIOS</t>
  </si>
  <si>
    <t>2.1.2.01.01.003.07.01</t>
  </si>
  <si>
    <t xml:space="preserve">MANTENIMIENTO </t>
  </si>
  <si>
    <t>2.1.2.02.02.007</t>
  </si>
  <si>
    <t>SEGUROS</t>
  </si>
  <si>
    <t>2.1.2.02.01.001</t>
  </si>
  <si>
    <t>SERVICIOS PUBLICOS</t>
  </si>
  <si>
    <t>2.1.2.02.02.010</t>
  </si>
  <si>
    <t>VIATICOS DE LOS FUNCIONARIOS EN COMISION</t>
  </si>
  <si>
    <t>2.1.2.02.02.006</t>
  </si>
  <si>
    <t xml:space="preserve">ARRENDAMIENTO DE BIENES E INMUEBLES </t>
  </si>
  <si>
    <t>2.3.8</t>
  </si>
  <si>
    <t>IMPUESTOS, TASAS, MULTAS Y REVISIONES</t>
  </si>
  <si>
    <t>GASTOS FINANCIEROS</t>
  </si>
  <si>
    <t>2.1.2.02.02.008</t>
  </si>
  <si>
    <t>SERVICIOS PRESTADOS A LAS EMPRESAS Y SERVICIOS DE PRODUCCION (PROCESO DE SELECCIÓN CONCURSO DE MERITO)</t>
  </si>
  <si>
    <t xml:space="preserve">SISTEMA DE GESTION EN SEGURIDAD Y SALUD EN EL TRABAJO </t>
  </si>
  <si>
    <t>2.1.2.02.02.009</t>
  </si>
  <si>
    <t xml:space="preserve"> PLAN DE MANEJO AMBIENTAL Y MODELO INTEGRADO DE PLANEACION Y GESTION</t>
  </si>
  <si>
    <t>OTROS GASTOS GENERALES (GASTOS IMPREVISTOS)</t>
  </si>
  <si>
    <t>SERVICIOS DE ENERGIA RED SEMAFORIZACION</t>
  </si>
  <si>
    <t>2.1.2.02.02.006.02</t>
  </si>
  <si>
    <t>COMUNICACIONES Y TRANSPORTE</t>
  </si>
  <si>
    <t>2.1.3.07.02</t>
  </si>
  <si>
    <t>PRESTACIONES SOCIALES RELACIONADAS CON EL EMPLEO</t>
  </si>
  <si>
    <t>2.1.3.07.02.001</t>
  </si>
  <si>
    <t>MESADA PENSIONAL</t>
  </si>
  <si>
    <t>2.1.3.07.02.003</t>
  </si>
  <si>
    <t>BONO PENSIONAL</t>
  </si>
  <si>
    <t>2.1.3</t>
  </si>
  <si>
    <t>OTRAS TRANSFERENCIAS CORRIENTES</t>
  </si>
  <si>
    <t>2.1.3.13.01.001</t>
  </si>
  <si>
    <t>CUMP. DE SENTENCIAS TRANSACCIONES CURADURIAS</t>
  </si>
  <si>
    <t>2.1.1.01.03</t>
  </si>
  <si>
    <t>GASTOS DE CAPACITACION BIENESTAR SOCIAL E INCENTIVOS</t>
  </si>
  <si>
    <t>2.1.3.07.02.030</t>
  </si>
  <si>
    <t>PACTOS CONVENCIONALES</t>
  </si>
  <si>
    <t>2.1.7.05.03</t>
  </si>
  <si>
    <t>DEFICIT FISCAL</t>
  </si>
  <si>
    <t>2.1.7.05.04</t>
  </si>
  <si>
    <t>PASIVOS DE VIGENCIAS ESPIRADAS</t>
  </si>
  <si>
    <t xml:space="preserve">TOTAL GASTOS DE FUNCIONAMIENTO </t>
  </si>
  <si>
    <t>DEUDA PUBLICA</t>
  </si>
  <si>
    <t>2.2</t>
  </si>
  <si>
    <t>SERVICIO DE LA DEUDA PUBLICA</t>
  </si>
  <si>
    <t>2.2.2.01</t>
  </si>
  <si>
    <t>AMORTIZACIÒN DE CAPITAL</t>
  </si>
  <si>
    <t>2.2.2.02</t>
  </si>
  <si>
    <t>INTERESES, COMISIONES Y DEMAS EROGACIONES DE LA DEUDA</t>
  </si>
  <si>
    <t>TOTAL DEUDA PUBLICA DE LA I.T.T.B</t>
  </si>
  <si>
    <t>GASTOS DE INVERSION</t>
  </si>
  <si>
    <t>2.2.1.1.1.5.01</t>
  </si>
  <si>
    <t>PRODUCTO 54. SISTEMA DE SEGURIDAD VIAL DEL DISTRITO</t>
  </si>
  <si>
    <t>2.2.1.1.1.5.02</t>
  </si>
  <si>
    <t>PRODUCTO 55. SISTEMA ESTRATEGICO PARA EL MEJORAMIENTO DE LA MOVILIDAD</t>
  </si>
  <si>
    <t>2.2.1.1.1.5.03</t>
  </si>
  <si>
    <t>PRODUCTO 56. FORTALECIMIENTO INSTITUCIONAL DEL SECTOR PÚBLICO DE TRANSPORTE</t>
  </si>
  <si>
    <t>2.2.1.1.1.5.04</t>
  </si>
  <si>
    <t>TOTAL GASTOS DE INVERSION</t>
  </si>
  <si>
    <t>TOTAL PRESUPUESTO 2024</t>
  </si>
  <si>
    <t>TRASLADOS PRESUPUETALES</t>
  </si>
  <si>
    <t>ADICION</t>
  </si>
  <si>
    <t>COMPROMETIDO ENERO</t>
  </si>
  <si>
    <t>CREDITOS</t>
  </si>
  <si>
    <t>CONTRACREDITOS</t>
  </si>
  <si>
    <t>COMPROMETIDO FEBRERO</t>
  </si>
  <si>
    <t>RECAUDO FEBRERO 2024</t>
  </si>
  <si>
    <t>RECAUDO MARZO 2024</t>
  </si>
  <si>
    <t>COMPROMETIDO MARZO</t>
  </si>
  <si>
    <t>COMPROMETIDO ABRIL</t>
  </si>
  <si>
    <t>RECAUDO ABRIL 2024</t>
  </si>
  <si>
    <t>COMPROMETIDO MAYO</t>
  </si>
  <si>
    <t>RECAUDO MAYO 2024</t>
  </si>
  <si>
    <t>COMPROMETIDO JUNIO</t>
  </si>
  <si>
    <t>RECAUDO JUNIO 2024</t>
  </si>
  <si>
    <t>2.2.1.1.1.5.05</t>
  </si>
  <si>
    <t>2.2.1.1.1.5.06</t>
  </si>
  <si>
    <t>2.2.1.1.1.5.07</t>
  </si>
  <si>
    <t>PROGRAMA 2409 SEGURIDAD DE TRANSPORTE</t>
  </si>
  <si>
    <t>PROGRAMA 4599 FORTALECIMIENTO A LA GESTION Y DIRECCION DE LA ADMINISTRACION PUBLICA TERRITORIAL</t>
  </si>
  <si>
    <t>COMPROMETIDO JULIO</t>
  </si>
  <si>
    <t xml:space="preserve">PROGRAMA 2408 PRESTACION DE SERVICIOS DE TRANSPORTE PUBLICO DE PASAJEROS </t>
  </si>
  <si>
    <t>RECAUDO JULIO 2024</t>
  </si>
  <si>
    <t>RECAUDO AGOSTO 2024</t>
  </si>
  <si>
    <t>COMPROMETIDO AGOSTO</t>
  </si>
  <si>
    <t>COMPROMETIDO SEPTIEMBRE</t>
  </si>
  <si>
    <t>RECAUDO SEPTIEMBRE 2024</t>
  </si>
  <si>
    <t>COMPROMETIDO OCTUBRE</t>
  </si>
  <si>
    <t>RECAUDO OCTUBRE 2024</t>
  </si>
  <si>
    <t>CHEQUEOS A DOMICILIO</t>
  </si>
  <si>
    <t>RECAUDO NOVIEMBRE 2024</t>
  </si>
  <si>
    <t>COMPROMETIDO NOVIEMBRE</t>
  </si>
  <si>
    <t>COMPROMETIDO DICIEMBRE</t>
  </si>
  <si>
    <t>COMPROMETIDO ENERO / DICIEMBRE</t>
  </si>
  <si>
    <t>PROGRAMA MOVILIDAD SOSTENIBLE, ACTIVA Y SEGURA</t>
  </si>
  <si>
    <t>RECAUDO DICIEMBRE 2024</t>
  </si>
  <si>
    <t>RECAUDO ENERO/DICIEMBRE 2024</t>
  </si>
  <si>
    <t xml:space="preserve"> PRESUPUESTO 
AJUSTADO 2024</t>
  </si>
  <si>
    <t xml:space="preserve"> PPTO INICIAL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</si>
</sst>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&quot;$&quot;\ #,##0.00"/>
    <numFmt numFmtId="165" formatCode="_(* #,##0_);_(* \(#,##0\);_(* &quot;-&quot;??_);_(@_)"/>
    <numFmt numFmtId="166" formatCode="_(&quot;$&quot;\ * #,##0_);_(&quot;$&quot;\ * \(#,##0\);_(&quot;$&quot;\ * &quot;-&quot;??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0"/>
      <name val="Arial Black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b/>
      <sz val="12"/>
      <color rgb="FFFFFFFF"/>
      <name val="Calibri"/>
      <family val="2"/>
    </font>
    <font>
      <b/>
      <sz val="9"/>
      <color rgb="FFFFFFFF"/>
      <name val="Arial"/>
      <family val="2"/>
    </font>
    <font>
      <sz val="8"/>
      <name val="Calibri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8"/>
      <color theme="1"/>
      <name val="Arial Black"/>
      <family val="2"/>
    </font>
    <font>
      <b/>
      <sz val="9"/>
      <name val="Arial Black"/>
      <family val="2"/>
    </font>
    <font>
      <b/>
      <sz val="9"/>
      <color theme="1"/>
      <name val="Arial Black"/>
      <family val="2"/>
    </font>
    <font>
      <sz val="10"/>
      <color theme="1"/>
      <name val="Arial Narrow"/>
      <family val="2"/>
    </font>
    <font>
      <sz val="9"/>
      <name val="Arial"/>
      <family val="2"/>
    </font>
    <font>
      <sz val="8"/>
      <color theme="1"/>
      <name val="Arial"/>
      <family val="2"/>
    </font>
    <font>
      <sz val="10"/>
      <name val="Arial Narrow"/>
      <family val="2"/>
    </font>
    <font>
      <b/>
      <sz val="10"/>
      <color theme="1"/>
      <name val="Arial Narrow"/>
      <family val="2"/>
    </font>
    <font>
      <b/>
      <sz val="11"/>
      <color theme="1"/>
      <name val="Arial"/>
      <family val="2"/>
    </font>
    <font>
      <sz val="10"/>
      <name val="Arial Black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 Black"/>
      <family val="2"/>
    </font>
    <font>
      <b/>
      <sz val="12"/>
      <color theme="1"/>
      <name val="Arial Black"/>
      <family val="2"/>
    </font>
    <font>
      <b/>
      <sz val="8"/>
      <name val="Arial Black"/>
      <family val="2"/>
    </font>
    <font>
      <sz val="8"/>
      <name val="Arial Black"/>
      <family val="2"/>
    </font>
    <font>
      <sz val="8"/>
      <color theme="0"/>
      <name val="Arial Black"/>
      <family val="2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Arial Black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262626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3" fillId="0" borderId="3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left"/>
    </xf>
    <xf numFmtId="164" fontId="5" fillId="0" borderId="3" xfId="0" applyNumberFormat="1" applyFont="1" applyFill="1" applyBorder="1"/>
    <xf numFmtId="0" fontId="3" fillId="0" borderId="3" xfId="0" applyFont="1" applyFill="1" applyBorder="1" applyAlignment="1">
      <alignment horizontal="left"/>
    </xf>
    <xf numFmtId="164" fontId="0" fillId="0" borderId="3" xfId="0" applyNumberFormat="1" applyBorder="1"/>
    <xf numFmtId="164" fontId="6" fillId="0" borderId="3" xfId="0" applyNumberFormat="1" applyFont="1" applyFill="1" applyBorder="1"/>
    <xf numFmtId="165" fontId="7" fillId="0" borderId="3" xfId="0" applyNumberFormat="1" applyFont="1" applyBorder="1"/>
    <xf numFmtId="0" fontId="3" fillId="0" borderId="3" xfId="0" applyFont="1" applyFill="1" applyBorder="1"/>
    <xf numFmtId="0" fontId="8" fillId="0" borderId="3" xfId="0" applyFont="1" applyFill="1" applyBorder="1" applyAlignment="1">
      <alignment horizontal="left"/>
    </xf>
    <xf numFmtId="0" fontId="0" fillId="0" borderId="3" xfId="0" applyBorder="1"/>
    <xf numFmtId="164" fontId="0" fillId="0" borderId="3" xfId="0" applyNumberFormat="1" applyFill="1" applyBorder="1"/>
    <xf numFmtId="164" fontId="9" fillId="0" borderId="3" xfId="0" applyNumberFormat="1" applyFont="1" applyFill="1" applyBorder="1"/>
    <xf numFmtId="164" fontId="11" fillId="3" borderId="3" xfId="0" applyNumberFormat="1" applyFont="1" applyFill="1" applyBorder="1"/>
    <xf numFmtId="0" fontId="13" fillId="0" borderId="3" xfId="0" applyFont="1" applyBorder="1"/>
    <xf numFmtId="0" fontId="14" fillId="0" borderId="5" xfId="0" applyFont="1" applyBorder="1"/>
    <xf numFmtId="0" fontId="15" fillId="0" borderId="3" xfId="0" applyFont="1" applyBorder="1"/>
    <xf numFmtId="0" fontId="16" fillId="0" borderId="5" xfId="0" applyFont="1" applyFill="1" applyBorder="1" applyAlignment="1">
      <alignment horizontal="left"/>
    </xf>
    <xf numFmtId="165" fontId="17" fillId="0" borderId="3" xfId="0" applyNumberFormat="1" applyFont="1" applyBorder="1"/>
    <xf numFmtId="0" fontId="18" fillId="5" borderId="3" xfId="0" applyFont="1" applyFill="1" applyBorder="1"/>
    <xf numFmtId="0" fontId="19" fillId="0" borderId="5" xfId="0" applyFont="1" applyFill="1" applyBorder="1" applyAlignment="1">
      <alignment horizontal="left"/>
    </xf>
    <xf numFmtId="0" fontId="20" fillId="0" borderId="3" xfId="0" applyFont="1" applyBorder="1"/>
    <xf numFmtId="165" fontId="16" fillId="0" borderId="3" xfId="1" applyNumberFormat="1" applyFont="1" applyFill="1" applyBorder="1" applyAlignment="1">
      <alignment horizontal="left"/>
    </xf>
    <xf numFmtId="0" fontId="18" fillId="0" borderId="3" xfId="0" applyFont="1" applyFill="1" applyBorder="1"/>
    <xf numFmtId="0" fontId="3" fillId="0" borderId="3" xfId="0" applyFont="1" applyBorder="1"/>
    <xf numFmtId="0" fontId="21" fillId="5" borderId="3" xfId="0" applyFont="1" applyFill="1" applyBorder="1"/>
    <xf numFmtId="0" fontId="22" fillId="5" borderId="3" xfId="0" applyFont="1" applyFill="1" applyBorder="1"/>
    <xf numFmtId="0" fontId="23" fillId="0" borderId="5" xfId="0" applyFont="1" applyBorder="1"/>
    <xf numFmtId="0" fontId="24" fillId="5" borderId="5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25" fillId="0" borderId="3" xfId="0" applyFont="1" applyBorder="1"/>
    <xf numFmtId="165" fontId="26" fillId="0" borderId="3" xfId="0" applyNumberFormat="1" applyFont="1" applyBorder="1"/>
    <xf numFmtId="165" fontId="28" fillId="0" borderId="3" xfId="0" applyNumberFormat="1" applyFont="1" applyBorder="1"/>
    <xf numFmtId="0" fontId="2" fillId="2" borderId="1" xfId="0" applyFont="1" applyFill="1" applyBorder="1" applyAlignment="1">
      <alignment horizontal="center" vertical="center" wrapText="1"/>
    </xf>
    <xf numFmtId="44" fontId="32" fillId="0" borderId="0" xfId="2" applyFont="1" applyAlignment="1">
      <alignment horizontal="center" vertical="top" wrapText="1"/>
    </xf>
    <xf numFmtId="44" fontId="0" fillId="0" borderId="0" xfId="0" applyNumberFormat="1"/>
    <xf numFmtId="165" fontId="0" fillId="0" borderId="3" xfId="1" applyNumberFormat="1" applyFont="1" applyBorder="1"/>
    <xf numFmtId="165" fontId="0" fillId="0" borderId="3" xfId="0" applyNumberFormat="1" applyBorder="1"/>
    <xf numFmtId="44" fontId="0" fillId="0" borderId="3" xfId="0" applyNumberFormat="1" applyBorder="1"/>
    <xf numFmtId="164" fontId="5" fillId="0" borderId="4" xfId="0" applyNumberFormat="1" applyFont="1" applyFill="1" applyBorder="1"/>
    <xf numFmtId="164" fontId="9" fillId="0" borderId="4" xfId="0" applyNumberFormat="1" applyFont="1" applyFill="1" applyBorder="1"/>
    <xf numFmtId="164" fontId="11" fillId="3" borderId="4" xfId="0" applyNumberFormat="1" applyFont="1" applyFill="1" applyBorder="1"/>
    <xf numFmtId="0" fontId="0" fillId="0" borderId="6" xfId="0" applyBorder="1"/>
    <xf numFmtId="0" fontId="4" fillId="0" borderId="3" xfId="0" applyFont="1" applyFill="1" applyBorder="1" applyAlignment="1">
      <alignment horizontal="right"/>
    </xf>
    <xf numFmtId="44" fontId="32" fillId="5" borderId="0" xfId="2" applyFont="1" applyFill="1" applyAlignment="1">
      <alignment horizontal="center" vertical="top" wrapText="1"/>
    </xf>
    <xf numFmtId="164" fontId="0" fillId="0" borderId="0" xfId="0" applyNumberFormat="1"/>
    <xf numFmtId="44" fontId="0" fillId="0" borderId="2" xfId="0" applyNumberFormat="1" applyFill="1" applyBorder="1"/>
    <xf numFmtId="165" fontId="0" fillId="0" borderId="0" xfId="0" applyNumberFormat="1"/>
    <xf numFmtId="0" fontId="33" fillId="0" borderId="0" xfId="0" applyFont="1" applyAlignment="1">
      <alignment vertical="center" wrapText="1"/>
    </xf>
    <xf numFmtId="0" fontId="0" fillId="0" borderId="0" xfId="0"/>
    <xf numFmtId="44" fontId="32" fillId="0" borderId="3" xfId="2" applyFont="1" applyBorder="1" applyAlignment="1">
      <alignment horizontal="center" vertical="top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4" fontId="0" fillId="0" borderId="7" xfId="0" applyNumberFormat="1" applyFill="1" applyBorder="1"/>
    <xf numFmtId="44" fontId="0" fillId="0" borderId="4" xfId="0" applyNumberFormat="1" applyBorder="1"/>
    <xf numFmtId="44" fontId="0" fillId="0" borderId="0" xfId="0" applyNumberFormat="1" applyFill="1" applyBorder="1"/>
    <xf numFmtId="0" fontId="0" fillId="0" borderId="0" xfId="0"/>
    <xf numFmtId="0" fontId="0" fillId="0" borderId="0" xfId="0"/>
    <xf numFmtId="44" fontId="32" fillId="0" borderId="4" xfId="2" applyFont="1" applyBorder="1" applyAlignment="1">
      <alignment horizontal="center" vertical="top" wrapText="1"/>
    </xf>
    <xf numFmtId="44" fontId="32" fillId="0" borderId="0" xfId="2" applyFont="1" applyFill="1" applyAlignment="1">
      <alignment horizontal="center" vertical="top" wrapText="1"/>
    </xf>
    <xf numFmtId="0" fontId="0" fillId="0" borderId="0" xfId="0"/>
    <xf numFmtId="0" fontId="0" fillId="0" borderId="0" xfId="0"/>
    <xf numFmtId="165" fontId="7" fillId="0" borderId="3" xfId="0" applyNumberFormat="1" applyFont="1" applyFill="1" applyBorder="1"/>
    <xf numFmtId="0" fontId="0" fillId="0" borderId="3" xfId="0" applyFill="1" applyBorder="1"/>
    <xf numFmtId="44" fontId="1" fillId="0" borderId="0" xfId="2" applyFont="1" applyAlignment="1">
      <alignment horizontal="center" vertical="top" wrapText="1"/>
    </xf>
    <xf numFmtId="44" fontId="0" fillId="0" borderId="3" xfId="0" applyNumberFormat="1" applyFont="1" applyBorder="1"/>
    <xf numFmtId="44" fontId="1" fillId="5" borderId="3" xfId="2" applyFont="1" applyFill="1" applyBorder="1" applyAlignment="1">
      <alignment horizontal="center" vertical="top" wrapText="1"/>
    </xf>
    <xf numFmtId="44" fontId="1" fillId="0" borderId="3" xfId="2" applyFont="1" applyBorder="1" applyAlignment="1">
      <alignment horizontal="center" vertical="top" wrapText="1"/>
    </xf>
    <xf numFmtId="44" fontId="1" fillId="5" borderId="0" xfId="2" applyFont="1" applyFill="1" applyAlignment="1">
      <alignment horizontal="center" vertical="top" wrapText="1"/>
    </xf>
    <xf numFmtId="9" fontId="0" fillId="0" borderId="0" xfId="3" applyFont="1"/>
    <xf numFmtId="0" fontId="0" fillId="0" borderId="0" xfId="0"/>
    <xf numFmtId="0" fontId="0" fillId="0" borderId="0" xfId="0"/>
    <xf numFmtId="0" fontId="0" fillId="0" borderId="0" xfId="0"/>
    <xf numFmtId="44" fontId="0" fillId="0" borderId="0" xfId="2" applyFont="1" applyAlignment="1">
      <alignment horizontal="center" vertical="top" wrapText="1"/>
    </xf>
    <xf numFmtId="0" fontId="0" fillId="0" borderId="0" xfId="0"/>
    <xf numFmtId="44" fontId="0" fillId="0" borderId="6" xfId="0" applyNumberFormat="1" applyFont="1" applyBorder="1"/>
    <xf numFmtId="44" fontId="32" fillId="0" borderId="3" xfId="2" applyFont="1" applyFill="1" applyBorder="1" applyAlignment="1">
      <alignment horizontal="center" vertical="top" wrapText="1"/>
    </xf>
    <xf numFmtId="0" fontId="0" fillId="0" borderId="0" xfId="0"/>
    <xf numFmtId="44" fontId="0" fillId="0" borderId="0" xfId="2" applyFont="1"/>
    <xf numFmtId="44" fontId="1" fillId="0" borderId="3" xfId="2" applyFont="1" applyFill="1" applyBorder="1" applyAlignment="1">
      <alignment horizontal="center" vertical="top" wrapText="1"/>
    </xf>
    <xf numFmtId="0" fontId="0" fillId="0" borderId="0" xfId="0"/>
    <xf numFmtId="44" fontId="0" fillId="0" borderId="3" xfId="2" applyFont="1" applyBorder="1"/>
    <xf numFmtId="43" fontId="0" fillId="0" borderId="0" xfId="1" applyFont="1"/>
    <xf numFmtId="44" fontId="34" fillId="0" borderId="3" xfId="2" applyFont="1" applyBorder="1"/>
    <xf numFmtId="0" fontId="0" fillId="0" borderId="0" xfId="0"/>
    <xf numFmtId="165" fontId="7" fillId="5" borderId="3" xfId="0" applyNumberFormat="1" applyFont="1" applyFill="1" applyBorder="1"/>
    <xf numFmtId="0" fontId="0" fillId="5" borderId="3" xfId="0" applyFill="1" applyBorder="1"/>
    <xf numFmtId="165" fontId="17" fillId="5" borderId="3" xfId="0" applyNumberFormat="1" applyFont="1" applyFill="1" applyBorder="1"/>
    <xf numFmtId="165" fontId="16" fillId="5" borderId="3" xfId="1" applyNumberFormat="1" applyFont="1" applyFill="1" applyBorder="1" applyAlignment="1">
      <alignment horizontal="left"/>
    </xf>
    <xf numFmtId="165" fontId="0" fillId="5" borderId="3" xfId="0" applyNumberFormat="1" applyFill="1" applyBorder="1"/>
    <xf numFmtId="0" fontId="0" fillId="0" borderId="0" xfId="0"/>
    <xf numFmtId="0" fontId="19" fillId="7" borderId="5" xfId="0" applyFont="1" applyFill="1" applyBorder="1" applyAlignment="1">
      <alignment horizontal="left"/>
    </xf>
    <xf numFmtId="0" fontId="21" fillId="8" borderId="0" xfId="0" applyFont="1" applyFill="1" applyAlignment="1">
      <alignment horizontal="left" vertical="center"/>
    </xf>
    <xf numFmtId="0" fontId="19" fillId="8" borderId="5" xfId="0" applyFont="1" applyFill="1" applyBorder="1" applyAlignment="1">
      <alignment horizontal="left"/>
    </xf>
    <xf numFmtId="0" fontId="19" fillId="9" borderId="5" xfId="0" applyFont="1" applyFill="1" applyBorder="1" applyAlignment="1">
      <alignment horizontal="left"/>
    </xf>
    <xf numFmtId="166" fontId="4" fillId="4" borderId="3" xfId="2" applyNumberFormat="1" applyFont="1" applyFill="1" applyBorder="1" applyAlignment="1">
      <alignment horizontal="center" vertical="center" wrapText="1"/>
    </xf>
    <xf numFmtId="166" fontId="12" fillId="4" borderId="3" xfId="2" applyNumberFormat="1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6" fontId="4" fillId="4" borderId="1" xfId="2" applyNumberFormat="1" applyFont="1" applyFill="1" applyBorder="1" applyAlignment="1">
      <alignment horizontal="center" vertical="center" wrapText="1"/>
    </xf>
    <xf numFmtId="166" fontId="12" fillId="4" borderId="2" xfId="2" applyNumberFormat="1" applyFont="1" applyFill="1" applyBorder="1" applyAlignment="1">
      <alignment horizontal="center" vertical="center" wrapText="1"/>
    </xf>
    <xf numFmtId="0" fontId="27" fillId="0" borderId="4" xfId="0" applyFont="1" applyBorder="1" applyAlignment="1">
      <alignment horizontal="center"/>
    </xf>
    <xf numFmtId="0" fontId="27" fillId="0" borderId="5" xfId="0" applyFon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0" fontId="29" fillId="6" borderId="3" xfId="0" applyFont="1" applyFill="1" applyBorder="1" applyAlignment="1">
      <alignment horizontal="center" vertical="center" wrapText="1"/>
    </xf>
    <xf numFmtId="0" fontId="30" fillId="6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0" xfId="0"/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3"/>
  <sheetViews>
    <sheetView workbookViewId="0">
      <pane xSplit="2" topLeftCell="C1" activePane="topRight" state="frozen"/>
      <selection pane="topRight" activeCell="H1" sqref="H1:H2"/>
    </sheetView>
  </sheetViews>
  <sheetFormatPr baseColWidth="10" defaultRowHeight="15" x14ac:dyDescent="0.25"/>
  <cols>
    <col min="1" max="1" width="11.85546875" customWidth="1"/>
    <col min="2" max="2" width="46.42578125" customWidth="1"/>
    <col min="3" max="3" width="21.7109375" customWidth="1"/>
    <col min="4" max="4" width="16.7109375" customWidth="1"/>
    <col min="5" max="5" width="24.7109375" bestFit="1" customWidth="1"/>
    <col min="6" max="6" width="18" bestFit="1" customWidth="1"/>
    <col min="7" max="7" width="19.85546875" bestFit="1" customWidth="1"/>
    <col min="8" max="8" width="18.85546875" bestFit="1" customWidth="1"/>
    <col min="9" max="9" width="17.7109375" bestFit="1" customWidth="1"/>
    <col min="10" max="10" width="17.85546875" bestFit="1" customWidth="1"/>
    <col min="11" max="11" width="17.5703125" style="49" bestFit="1" customWidth="1"/>
    <col min="12" max="12" width="17.5703125" style="53" bestFit="1" customWidth="1"/>
    <col min="13" max="13" width="19.7109375" style="55" bestFit="1" customWidth="1"/>
    <col min="14" max="14" width="22.7109375" style="62" bestFit="1" customWidth="1"/>
    <col min="15" max="15" width="20.28515625" style="67" bestFit="1" customWidth="1"/>
    <col min="16" max="16" width="22.140625" style="76" bestFit="1" customWidth="1"/>
    <col min="17" max="17" width="21.42578125" style="83" bestFit="1" customWidth="1"/>
    <col min="18" max="18" width="21.140625" customWidth="1"/>
    <col min="19" max="19" width="21.85546875" customWidth="1"/>
    <col min="20" max="20" width="17.42578125" customWidth="1"/>
    <col min="21" max="21" width="18.28515625" bestFit="1" customWidth="1"/>
    <col min="22" max="22" width="11.28515625" customWidth="1"/>
  </cols>
  <sheetData>
    <row r="1" spans="1:21" ht="15" customHeight="1" x14ac:dyDescent="0.25">
      <c r="A1" s="105" t="s">
        <v>0</v>
      </c>
      <c r="B1" s="105" t="s">
        <v>1</v>
      </c>
      <c r="C1" s="105" t="s">
        <v>155</v>
      </c>
      <c r="D1" s="105" t="s">
        <v>157</v>
      </c>
      <c r="E1" s="105" t="s">
        <v>158</v>
      </c>
      <c r="F1" s="107" t="s">
        <v>159</v>
      </c>
      <c r="G1" s="101" t="s">
        <v>301</v>
      </c>
      <c r="H1" s="101" t="s">
        <v>302</v>
      </c>
      <c r="I1" s="101" t="s">
        <v>305</v>
      </c>
      <c r="J1" s="101" t="s">
        <v>307</v>
      </c>
      <c r="K1" s="101" t="s">
        <v>309</v>
      </c>
      <c r="L1" s="101" t="s">
        <v>317</v>
      </c>
      <c r="M1" s="101" t="s">
        <v>318</v>
      </c>
      <c r="N1" s="101" t="s">
        <v>321</v>
      </c>
      <c r="O1" s="101" t="s">
        <v>323</v>
      </c>
      <c r="P1" s="101" t="s">
        <v>325</v>
      </c>
      <c r="Q1" s="101" t="s">
        <v>330</v>
      </c>
      <c r="R1" s="101" t="s">
        <v>331</v>
      </c>
    </row>
    <row r="2" spans="1:21" x14ac:dyDescent="0.25">
      <c r="A2" s="106"/>
      <c r="B2" s="106"/>
      <c r="C2" s="106"/>
      <c r="D2" s="106"/>
      <c r="E2" s="106"/>
      <c r="F2" s="108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</row>
    <row r="3" spans="1:21" x14ac:dyDescent="0.25">
      <c r="A3" s="43" t="s">
        <v>2</v>
      </c>
      <c r="B3" s="2" t="s">
        <v>3</v>
      </c>
      <c r="C3" s="3">
        <f>C4</f>
        <v>2985000000</v>
      </c>
      <c r="D3" s="10"/>
      <c r="E3" s="5"/>
      <c r="F3" s="3">
        <f>F4</f>
        <v>254575764</v>
      </c>
      <c r="G3" s="39">
        <f t="shared" ref="G3:R3" si="0">G4</f>
        <v>405951278</v>
      </c>
      <c r="H3" s="39">
        <f t="shared" si="0"/>
        <v>396875426</v>
      </c>
      <c r="I3" s="39">
        <f t="shared" si="0"/>
        <v>276889159</v>
      </c>
      <c r="J3" s="39">
        <f t="shared" si="0"/>
        <v>190705296</v>
      </c>
      <c r="K3" s="39">
        <f t="shared" si="0"/>
        <v>142390173</v>
      </c>
      <c r="L3" s="39">
        <f t="shared" si="0"/>
        <v>173266668</v>
      </c>
      <c r="M3" s="3">
        <f t="shared" si="0"/>
        <v>110092452</v>
      </c>
      <c r="N3" s="3">
        <f t="shared" si="0"/>
        <v>98465243</v>
      </c>
      <c r="O3" s="3">
        <f t="shared" si="0"/>
        <v>98542921</v>
      </c>
      <c r="P3" s="3">
        <f t="shared" si="0"/>
        <v>226980391</v>
      </c>
      <c r="Q3" s="3">
        <f t="shared" si="0"/>
        <v>244876258</v>
      </c>
      <c r="R3" s="3">
        <f t="shared" si="0"/>
        <v>2619611029</v>
      </c>
    </row>
    <row r="4" spans="1:21" x14ac:dyDescent="0.25">
      <c r="A4" s="1" t="s">
        <v>4</v>
      </c>
      <c r="B4" s="4" t="s">
        <v>5</v>
      </c>
      <c r="C4" s="5">
        <v>2985000000</v>
      </c>
      <c r="D4" s="5"/>
      <c r="E4" s="10"/>
      <c r="F4" s="38">
        <v>254575764</v>
      </c>
      <c r="G4" s="38">
        <v>405951278</v>
      </c>
      <c r="H4" s="38">
        <v>396875426</v>
      </c>
      <c r="I4" s="38">
        <v>276889159</v>
      </c>
      <c r="J4" s="38">
        <v>190705296</v>
      </c>
      <c r="K4" s="38">
        <v>142390173</v>
      </c>
      <c r="L4" s="60">
        <v>173266668</v>
      </c>
      <c r="M4" s="38">
        <v>110092452</v>
      </c>
      <c r="N4" s="38">
        <v>98465243</v>
      </c>
      <c r="O4" s="38">
        <v>98542921</v>
      </c>
      <c r="P4" s="38">
        <v>226980391</v>
      </c>
      <c r="Q4" s="38">
        <v>244876258</v>
      </c>
      <c r="R4" s="38">
        <f>F4+G4+H4+I4+J4+K4+L4+M4+N4+O4+P4+Q4</f>
        <v>2619611029</v>
      </c>
      <c r="S4" s="34"/>
    </row>
    <row r="5" spans="1:21" x14ac:dyDescent="0.25">
      <c r="A5" s="43" t="s">
        <v>6</v>
      </c>
      <c r="B5" s="2" t="s">
        <v>7</v>
      </c>
      <c r="C5" s="3">
        <f>C6+C7+C8+C9+C10+C11+C12+C13+C14+C15+C16+C17+C18+C19+C20+C21+C22+C23+C24+C25+C26+C27+C28+C29+C30+C31+C32+C33+C34+C35+C36+C37+C38+C39+C40+C41+C42+C43+C44+C45+C46+C47+C48+C49+C50+C51+C52+C53+C54+C55+C56+C57+C58+C59+C60+C61+C62+C63+C64+C65+C66+C68+C67</f>
        <v>11006781500</v>
      </c>
      <c r="D5" s="10"/>
      <c r="E5" s="10"/>
      <c r="F5" s="3">
        <f>F6+F7+F8+F9+F10+F11+F12+F13+F14+F15+F16+F17+F18+F19+F20+F21+F22+F23+F24+F25+F26+F27+F28+F29+F30+F31+F32+F33+F34+F35+F36+F37+F38+F39+F40+F41+F42+F43+F44+F45+F46+F47+F48+F49+F50+F51+F52+F53+F54+F55+F56+F57+F58+F59+F60+F61+F62+F63+F64+F65+F66+F68+F67</f>
        <v>667995785</v>
      </c>
      <c r="G5" s="39">
        <f t="shared" ref="G5:R5" si="1">G6+G7+G8+G9+G10+G11+G12+G13+G14+G15+G16+G17+G18+G19+G20+G21+G22+G23+G24+G25+G26+G27+G28+G29+G30+G31+G32+G33+G34+G35+G36+G37+G38+G39+G40+G41+G42+G43+G44+G45+G46+G47+G48+G49+G50+G51+G52+G53+G54+G55+G56+G57+G58+G59+G60+G61+G62+G63+G64+G65+G66+G68+G67</f>
        <v>809771397</v>
      </c>
      <c r="H5" s="39">
        <f t="shared" ref="H5:Q5" si="2">H6+H7+H8+H9+H10+H11+H12+H13+H14+H15+H16+H17+H18+H19+H20+H21+H22+H23+H24+H25+H26+H27+H28+H29+H30+H31+H32+H33+H34+H35+H36+H37+H38+H39+H40+H41+H42+H43+H44+H45+H46+H47+H48+H49+H50+H51+H52+H53+H54+H55+H56+H57+H58+H59+H60+H61+H62+H63+H64+H65+H66+H68+H67</f>
        <v>633919054</v>
      </c>
      <c r="I5" s="39">
        <f t="shared" si="2"/>
        <v>620586675</v>
      </c>
      <c r="J5" s="39">
        <f t="shared" si="2"/>
        <v>569446632</v>
      </c>
      <c r="K5" s="39">
        <f t="shared" si="2"/>
        <v>593956510</v>
      </c>
      <c r="L5" s="39">
        <f t="shared" si="2"/>
        <v>661464251</v>
      </c>
      <c r="M5" s="39">
        <f t="shared" si="2"/>
        <v>596290475</v>
      </c>
      <c r="N5" s="39">
        <f t="shared" si="2"/>
        <v>618229853.60000002</v>
      </c>
      <c r="O5" s="39">
        <f t="shared" si="2"/>
        <v>609332420</v>
      </c>
      <c r="P5" s="39">
        <f t="shared" si="2"/>
        <v>607851311</v>
      </c>
      <c r="Q5" s="39">
        <f t="shared" si="2"/>
        <v>1491012769.5999999</v>
      </c>
      <c r="R5" s="3">
        <f t="shared" si="1"/>
        <v>8479857133.2000008</v>
      </c>
      <c r="S5" s="34"/>
      <c r="T5" s="45"/>
      <c r="U5" s="35"/>
    </row>
    <row r="6" spans="1:21" x14ac:dyDescent="0.25">
      <c r="A6" s="1" t="s">
        <v>8</v>
      </c>
      <c r="B6" s="4" t="s">
        <v>9</v>
      </c>
      <c r="C6" s="5">
        <v>3720000000</v>
      </c>
      <c r="D6" s="10"/>
      <c r="E6" s="10"/>
      <c r="F6" s="38">
        <v>128745968</v>
      </c>
      <c r="G6" s="38">
        <v>132254789</v>
      </c>
      <c r="H6" s="38">
        <v>85147622</v>
      </c>
      <c r="I6" s="38">
        <v>103548795</v>
      </c>
      <c r="J6" s="38">
        <v>114589624</v>
      </c>
      <c r="K6" s="38">
        <v>137886632</v>
      </c>
      <c r="L6" s="34">
        <v>130602224</v>
      </c>
      <c r="M6" s="50">
        <v>158116696</v>
      </c>
      <c r="N6" s="38">
        <v>173254891</v>
      </c>
      <c r="O6" s="73">
        <v>124587625</v>
      </c>
      <c r="P6" s="73">
        <v>220534704</v>
      </c>
      <c r="Q6" s="71">
        <v>658142870</v>
      </c>
      <c r="R6" s="38">
        <f t="shared" ref="R6:R68" si="3">F6+G6+H6+I6+J6+K6+L6+M6+N6+O6+P6+Q6</f>
        <v>2167412440</v>
      </c>
      <c r="S6" s="78"/>
      <c r="U6" s="35"/>
    </row>
    <row r="7" spans="1:21" x14ac:dyDescent="0.25">
      <c r="A7" s="1" t="s">
        <v>10</v>
      </c>
      <c r="B7" s="4" t="s">
        <v>11</v>
      </c>
      <c r="C7" s="5">
        <v>869000000</v>
      </c>
      <c r="D7" s="10"/>
      <c r="E7" s="10"/>
      <c r="F7" s="38">
        <v>48795624</v>
      </c>
      <c r="G7" s="38">
        <v>67985842</v>
      </c>
      <c r="H7" s="38">
        <v>72869274</v>
      </c>
      <c r="I7" s="38">
        <v>38457925</v>
      </c>
      <c r="J7" s="34">
        <v>32587496</v>
      </c>
      <c r="K7" s="38">
        <v>44150929</v>
      </c>
      <c r="L7" s="60">
        <v>38795462</v>
      </c>
      <c r="M7" s="59">
        <v>17586941</v>
      </c>
      <c r="N7" s="38">
        <v>9732033</v>
      </c>
      <c r="O7" s="71">
        <v>12548736</v>
      </c>
      <c r="P7" s="50">
        <v>3852585</v>
      </c>
      <c r="Q7" s="50">
        <v>8956472</v>
      </c>
      <c r="R7" s="38">
        <f t="shared" si="3"/>
        <v>396319319</v>
      </c>
      <c r="S7" s="84"/>
      <c r="T7" s="45"/>
    </row>
    <row r="8" spans="1:21" x14ac:dyDescent="0.25">
      <c r="A8" s="1" t="s">
        <v>12</v>
      </c>
      <c r="B8" s="4" t="s">
        <v>13</v>
      </c>
      <c r="C8" s="5">
        <v>765600000</v>
      </c>
      <c r="D8" s="10"/>
      <c r="E8" s="10"/>
      <c r="F8" s="38">
        <v>215656155</v>
      </c>
      <c r="G8" s="38">
        <v>256078147</v>
      </c>
      <c r="H8" s="38">
        <f>2943803+192230439</f>
        <v>195174242</v>
      </c>
      <c r="I8" s="38">
        <v>190932347</v>
      </c>
      <c r="J8" s="34">
        <f>1970475+93728788+818505+1515750+50693176+17229149</f>
        <v>165955843</v>
      </c>
      <c r="K8" s="38">
        <v>158411261</v>
      </c>
      <c r="L8" s="34">
        <v>149287157</v>
      </c>
      <c r="M8" s="50">
        <v>165955843</v>
      </c>
      <c r="N8" s="38">
        <v>115904474</v>
      </c>
      <c r="O8" s="71">
        <v>128814931</v>
      </c>
      <c r="P8" s="71">
        <v>101134088</v>
      </c>
      <c r="Q8" s="71">
        <v>155553246</v>
      </c>
      <c r="R8" s="38">
        <f t="shared" si="3"/>
        <v>1998857734</v>
      </c>
    </row>
    <row r="9" spans="1:21" x14ac:dyDescent="0.25">
      <c r="A9" s="1" t="s">
        <v>14</v>
      </c>
      <c r="B9" s="4" t="s">
        <v>15</v>
      </c>
      <c r="C9" s="5">
        <v>512000000</v>
      </c>
      <c r="D9" s="10"/>
      <c r="E9" s="10"/>
      <c r="F9" s="38">
        <f>3095518+29582264</f>
        <v>32677782</v>
      </c>
      <c r="G9" s="38">
        <v>27505914</v>
      </c>
      <c r="H9" s="38">
        <f>2557190+24437880</f>
        <v>26995070</v>
      </c>
      <c r="I9" s="38">
        <v>25497802</v>
      </c>
      <c r="J9" s="34">
        <f>25153448+2632066</f>
        <v>27785514</v>
      </c>
      <c r="K9" s="38">
        <f>2336661+22330388</f>
        <v>24667049</v>
      </c>
      <c r="L9" s="34">
        <f>3028376+28925766</f>
        <v>31954142</v>
      </c>
      <c r="M9" s="38">
        <f>2632066+25153448</f>
        <v>27785514</v>
      </c>
      <c r="N9" s="38">
        <v>26275504</v>
      </c>
      <c r="O9" s="72">
        <f>2686818+25676694</f>
        <v>28363512</v>
      </c>
      <c r="P9" s="50">
        <f>2173863+20774614</f>
        <v>22948477</v>
      </c>
      <c r="Q9" s="84">
        <f>2819034+26940222</f>
        <v>29759256</v>
      </c>
      <c r="R9" s="38">
        <f t="shared" si="3"/>
        <v>332215536</v>
      </c>
      <c r="S9" s="86"/>
    </row>
    <row r="10" spans="1:21" x14ac:dyDescent="0.25">
      <c r="A10" s="1" t="s">
        <v>16</v>
      </c>
      <c r="B10" s="4" t="s">
        <v>17</v>
      </c>
      <c r="C10" s="5">
        <v>1000000</v>
      </c>
      <c r="D10" s="10"/>
      <c r="E10" s="10"/>
      <c r="F10" s="38">
        <v>0</v>
      </c>
      <c r="G10" s="38">
        <v>0</v>
      </c>
      <c r="H10" s="38">
        <v>0</v>
      </c>
      <c r="I10" s="38">
        <v>0</v>
      </c>
      <c r="J10" s="38"/>
      <c r="K10" s="38"/>
      <c r="L10" s="60"/>
      <c r="M10" s="10"/>
      <c r="N10" s="38"/>
      <c r="O10" s="72">
        <v>2686818</v>
      </c>
      <c r="P10" s="50">
        <v>1734256</v>
      </c>
      <c r="Q10" s="50"/>
      <c r="R10" s="38">
        <f t="shared" si="3"/>
        <v>4421074</v>
      </c>
      <c r="S10" s="86"/>
    </row>
    <row r="11" spans="1:21" x14ac:dyDescent="0.25">
      <c r="A11" s="1" t="s">
        <v>18</v>
      </c>
      <c r="B11" s="4" t="s">
        <v>19</v>
      </c>
      <c r="C11" s="5">
        <v>35000000</v>
      </c>
      <c r="D11" s="10"/>
      <c r="E11" s="10"/>
      <c r="F11" s="38">
        <v>161160</v>
      </c>
      <c r="G11" s="38">
        <v>564060</v>
      </c>
      <c r="H11" s="38">
        <v>376040</v>
      </c>
      <c r="I11" s="38">
        <v>617780</v>
      </c>
      <c r="J11" s="34">
        <v>590920</v>
      </c>
      <c r="K11" s="38">
        <f>376040+107440</f>
        <v>483480</v>
      </c>
      <c r="L11" s="60">
        <v>349180</v>
      </c>
      <c r="M11" s="50">
        <v>590920</v>
      </c>
      <c r="N11" s="38">
        <f>875920+537200</f>
        <v>1413120</v>
      </c>
      <c r="O11" s="73">
        <v>483480</v>
      </c>
      <c r="P11" s="50">
        <v>456620</v>
      </c>
      <c r="Q11" s="84">
        <v>402900</v>
      </c>
      <c r="R11" s="38">
        <f t="shared" si="3"/>
        <v>6489660</v>
      </c>
      <c r="S11" s="86"/>
    </row>
    <row r="12" spans="1:21" x14ac:dyDescent="0.25">
      <c r="A12" s="1" t="s">
        <v>20</v>
      </c>
      <c r="B12" s="4" t="s">
        <v>21</v>
      </c>
      <c r="C12" s="5">
        <v>49000000</v>
      </c>
      <c r="D12" s="10"/>
      <c r="E12" s="10"/>
      <c r="F12" s="38">
        <v>268600</v>
      </c>
      <c r="G12" s="38">
        <v>698360</v>
      </c>
      <c r="H12" s="38">
        <v>510340</v>
      </c>
      <c r="I12" s="46">
        <v>725220</v>
      </c>
      <c r="J12" s="46">
        <v>725220</v>
      </c>
      <c r="K12" s="38">
        <v>537200</v>
      </c>
      <c r="L12" s="34">
        <v>456620</v>
      </c>
      <c r="M12" s="50">
        <v>725220</v>
      </c>
      <c r="N12" s="38">
        <v>886380</v>
      </c>
      <c r="O12" s="73">
        <v>644640</v>
      </c>
      <c r="P12" s="50">
        <v>644640</v>
      </c>
      <c r="Q12" s="84">
        <v>698360</v>
      </c>
      <c r="R12" s="38">
        <f t="shared" si="3"/>
        <v>7520800</v>
      </c>
      <c r="S12" s="86"/>
    </row>
    <row r="13" spans="1:21" x14ac:dyDescent="0.25">
      <c r="A13" s="1" t="s">
        <v>22</v>
      </c>
      <c r="B13" s="4" t="s">
        <v>23</v>
      </c>
      <c r="C13" s="5">
        <v>132000000</v>
      </c>
      <c r="D13" s="10"/>
      <c r="E13" s="10"/>
      <c r="F13" s="38">
        <v>8414801</v>
      </c>
      <c r="G13" s="38">
        <v>6993351</v>
      </c>
      <c r="H13" s="38">
        <f>7446882+112400</f>
        <v>7559282</v>
      </c>
      <c r="I13" s="38">
        <v>8082985</v>
      </c>
      <c r="J13" s="34">
        <v>8232251</v>
      </c>
      <c r="K13" s="38">
        <v>6712951</v>
      </c>
      <c r="L13" s="60">
        <v>7583506</v>
      </c>
      <c r="M13" s="50">
        <v>8232251</v>
      </c>
      <c r="N13" s="38">
        <v>9425493</v>
      </c>
      <c r="O13" s="71">
        <v>9312135</v>
      </c>
      <c r="P13" s="50">
        <v>6347206</v>
      </c>
      <c r="Q13" s="84">
        <v>6103225</v>
      </c>
      <c r="R13" s="38">
        <f t="shared" si="3"/>
        <v>92999437</v>
      </c>
    </row>
    <row r="14" spans="1:21" x14ac:dyDescent="0.25">
      <c r="A14" s="1" t="s">
        <v>24</v>
      </c>
      <c r="B14" s="4" t="s">
        <v>25</v>
      </c>
      <c r="C14" s="5">
        <v>118000000</v>
      </c>
      <c r="D14" s="10"/>
      <c r="E14" s="10"/>
      <c r="F14" s="38">
        <v>9549958</v>
      </c>
      <c r="G14" s="38">
        <v>9194408</v>
      </c>
      <c r="H14" s="38">
        <v>11750502</v>
      </c>
      <c r="I14" s="38">
        <v>7480659</v>
      </c>
      <c r="J14" s="38">
        <f>9618115+373735</f>
        <v>9991850</v>
      </c>
      <c r="K14" s="38">
        <v>7213299</v>
      </c>
      <c r="L14" s="60">
        <v>20522824</v>
      </c>
      <c r="M14" s="38">
        <v>9991850</v>
      </c>
      <c r="N14" s="38">
        <v>53455027</v>
      </c>
      <c r="O14" s="73">
        <v>31025230</v>
      </c>
      <c r="P14" s="82">
        <v>36137415</v>
      </c>
      <c r="Q14" s="85">
        <v>123177603</v>
      </c>
      <c r="R14" s="38">
        <f t="shared" si="3"/>
        <v>329490625</v>
      </c>
      <c r="S14" s="34"/>
    </row>
    <row r="15" spans="1:21" x14ac:dyDescent="0.25">
      <c r="A15" s="1" t="s">
        <v>26</v>
      </c>
      <c r="B15" s="4" t="s">
        <v>27</v>
      </c>
      <c r="C15" s="5">
        <v>48500000</v>
      </c>
      <c r="D15" s="10"/>
      <c r="E15" s="10"/>
      <c r="F15" s="38">
        <v>4521669</v>
      </c>
      <c r="G15" s="38">
        <v>5417049</v>
      </c>
      <c r="H15" s="38">
        <v>4253055</v>
      </c>
      <c r="I15" s="38">
        <v>5014128</v>
      </c>
      <c r="J15" s="34">
        <v>3894903</v>
      </c>
      <c r="K15" s="38">
        <v>3894903</v>
      </c>
      <c r="L15" s="60">
        <v>4835052</v>
      </c>
      <c r="M15" s="50">
        <v>3894903</v>
      </c>
      <c r="N15" s="38">
        <v>3044292</v>
      </c>
      <c r="O15" s="73">
        <v>7834575</v>
      </c>
      <c r="P15" s="50">
        <v>8058420</v>
      </c>
      <c r="Q15" s="73">
        <v>6939195</v>
      </c>
      <c r="R15" s="38">
        <f t="shared" si="3"/>
        <v>61602144</v>
      </c>
    </row>
    <row r="16" spans="1:21" x14ac:dyDescent="0.25">
      <c r="A16" s="1" t="s">
        <v>28</v>
      </c>
      <c r="B16" s="4" t="s">
        <v>29</v>
      </c>
      <c r="C16" s="5">
        <v>5000000</v>
      </c>
      <c r="D16" s="10"/>
      <c r="E16" s="10"/>
      <c r="F16" s="38">
        <v>0</v>
      </c>
      <c r="G16" s="38">
        <v>0</v>
      </c>
      <c r="H16" s="38">
        <v>0</v>
      </c>
      <c r="I16" s="38">
        <v>0</v>
      </c>
      <c r="J16" s="38"/>
      <c r="K16" s="38"/>
      <c r="L16" s="60"/>
      <c r="M16" s="38"/>
      <c r="N16" s="38">
        <v>0</v>
      </c>
      <c r="O16" s="71">
        <v>0</v>
      </c>
      <c r="P16" s="71">
        <v>0</v>
      </c>
      <c r="Q16" s="71"/>
      <c r="R16" s="38">
        <f t="shared" si="3"/>
        <v>0</v>
      </c>
    </row>
    <row r="17" spans="1:20" x14ac:dyDescent="0.25">
      <c r="A17" s="1" t="s">
        <v>30</v>
      </c>
      <c r="B17" s="4" t="s">
        <v>31</v>
      </c>
      <c r="C17" s="5">
        <v>1350000</v>
      </c>
      <c r="D17" s="10"/>
      <c r="E17" s="10"/>
      <c r="F17" s="38">
        <v>0</v>
      </c>
      <c r="G17" s="38">
        <v>0</v>
      </c>
      <c r="H17" s="38">
        <v>0</v>
      </c>
      <c r="I17" s="38">
        <v>0</v>
      </c>
      <c r="J17" s="38"/>
      <c r="K17" s="38"/>
      <c r="L17" s="60"/>
      <c r="M17" s="38"/>
      <c r="N17" s="38">
        <v>0</v>
      </c>
      <c r="O17" s="71">
        <v>0</v>
      </c>
      <c r="P17" s="71">
        <v>0</v>
      </c>
      <c r="Q17" s="71"/>
      <c r="R17" s="38">
        <f t="shared" si="3"/>
        <v>0</v>
      </c>
    </row>
    <row r="18" spans="1:20" x14ac:dyDescent="0.25">
      <c r="A18" s="1" t="s">
        <v>32</v>
      </c>
      <c r="B18" s="4" t="s">
        <v>324</v>
      </c>
      <c r="C18" s="5">
        <v>1350000</v>
      </c>
      <c r="D18" s="10"/>
      <c r="E18" s="10"/>
      <c r="F18" s="38">
        <v>0</v>
      </c>
      <c r="G18" s="38">
        <v>0</v>
      </c>
      <c r="H18" s="38">
        <v>0</v>
      </c>
      <c r="I18" s="38">
        <v>0</v>
      </c>
      <c r="J18" s="38"/>
      <c r="K18" s="38"/>
      <c r="L18" s="60"/>
      <c r="M18" s="38"/>
      <c r="N18" s="38">
        <v>0</v>
      </c>
      <c r="O18" s="71">
        <v>0</v>
      </c>
      <c r="P18" s="71">
        <v>0</v>
      </c>
      <c r="Q18" s="71"/>
      <c r="R18" s="38">
        <f t="shared" si="3"/>
        <v>0</v>
      </c>
    </row>
    <row r="19" spans="1:20" x14ac:dyDescent="0.25">
      <c r="A19" s="1" t="s">
        <v>33</v>
      </c>
      <c r="B19" s="4" t="s">
        <v>34</v>
      </c>
      <c r="C19" s="5">
        <v>127000000</v>
      </c>
      <c r="D19" s="10"/>
      <c r="E19" s="10"/>
      <c r="F19" s="38">
        <f>2758429+3794185+581319</f>
        <v>7133933</v>
      </c>
      <c r="G19" s="38">
        <f>5293214+792902</f>
        <v>6086116</v>
      </c>
      <c r="H19" s="38">
        <f>2091461+1101682+4138416+780678</f>
        <v>8112237</v>
      </c>
      <c r="I19" s="38">
        <f>5524471+876168</f>
        <v>6400639</v>
      </c>
      <c r="J19" s="38">
        <v>3847596</v>
      </c>
      <c r="K19" s="38">
        <f>1904611+972541+4560582+772351</f>
        <v>8210085</v>
      </c>
      <c r="L19" s="60">
        <f>2520551+1546303+5752425+780102+75426</f>
        <v>10674807</v>
      </c>
      <c r="M19" s="50">
        <f>2236908+1357093+4978808+937440</f>
        <v>9510249</v>
      </c>
      <c r="N19" s="38">
        <f>9416435+808308</f>
        <v>10224743</v>
      </c>
      <c r="O19" s="74">
        <f>8947130+841950+2322072</f>
        <v>12111152</v>
      </c>
      <c r="P19" s="74">
        <f>3698206+5809242+1073799</f>
        <v>10581247</v>
      </c>
      <c r="Q19" s="84">
        <f>3135807+182188+1478486+1478486+7927387+150852+4030893</f>
        <v>18384099</v>
      </c>
      <c r="R19" s="38">
        <f t="shared" si="3"/>
        <v>111276903</v>
      </c>
      <c r="S19" s="84"/>
    </row>
    <row r="20" spans="1:20" x14ac:dyDescent="0.25">
      <c r="A20" s="1" t="s">
        <v>35</v>
      </c>
      <c r="B20" s="4" t="s">
        <v>36</v>
      </c>
      <c r="C20" s="5">
        <v>5220000</v>
      </c>
      <c r="D20" s="10"/>
      <c r="E20" s="10"/>
      <c r="F20" s="38">
        <v>0</v>
      </c>
      <c r="G20" s="38"/>
      <c r="H20" s="38"/>
      <c r="I20" s="38">
        <v>0</v>
      </c>
      <c r="J20" s="38"/>
      <c r="K20" s="38"/>
      <c r="L20" s="60"/>
      <c r="M20" s="38"/>
      <c r="N20" s="38">
        <v>0</v>
      </c>
      <c r="O20" s="71">
        <v>0</v>
      </c>
      <c r="P20" s="71"/>
      <c r="Q20" s="71"/>
      <c r="R20" s="38">
        <f t="shared" si="3"/>
        <v>0</v>
      </c>
      <c r="S20" s="34"/>
      <c r="T20" s="34"/>
    </row>
    <row r="21" spans="1:20" x14ac:dyDescent="0.25">
      <c r="A21" s="1" t="s">
        <v>37</v>
      </c>
      <c r="B21" s="4" t="s">
        <v>38</v>
      </c>
      <c r="C21" s="5">
        <v>382800000</v>
      </c>
      <c r="D21" s="10"/>
      <c r="E21" s="10"/>
      <c r="F21" s="38">
        <v>48097110</v>
      </c>
      <c r="G21" s="38">
        <v>60499440</v>
      </c>
      <c r="H21" s="38">
        <v>51114099</v>
      </c>
      <c r="I21" s="38">
        <v>63618073</v>
      </c>
      <c r="J21" s="34">
        <v>58888582</v>
      </c>
      <c r="K21" s="38">
        <v>54214908</v>
      </c>
      <c r="L21" s="34">
        <v>66954538</v>
      </c>
      <c r="M21" s="50">
        <v>58888582</v>
      </c>
      <c r="N21" s="38">
        <v>70044543</v>
      </c>
      <c r="O21" s="70">
        <v>75042187</v>
      </c>
      <c r="P21" s="34">
        <v>71285598</v>
      </c>
      <c r="Q21" s="84">
        <v>102194142</v>
      </c>
      <c r="R21" s="38">
        <f t="shared" si="3"/>
        <v>780841802</v>
      </c>
      <c r="S21" s="84"/>
    </row>
    <row r="22" spans="1:20" x14ac:dyDescent="0.25">
      <c r="A22" s="1" t="s">
        <v>39</v>
      </c>
      <c r="B22" s="4" t="s">
        <v>40</v>
      </c>
      <c r="C22" s="5">
        <v>22968000</v>
      </c>
      <c r="D22" s="10"/>
      <c r="E22" s="10"/>
      <c r="F22" s="38">
        <v>0</v>
      </c>
      <c r="G22" s="38">
        <v>0</v>
      </c>
      <c r="H22" s="38">
        <v>0</v>
      </c>
      <c r="I22" s="38">
        <v>0</v>
      </c>
      <c r="J22" s="38"/>
      <c r="K22" s="38">
        <v>107387</v>
      </c>
      <c r="L22" s="60"/>
      <c r="M22" s="38"/>
      <c r="N22" s="38">
        <v>0</v>
      </c>
      <c r="O22" s="71">
        <v>0</v>
      </c>
      <c r="P22" s="71">
        <v>0</v>
      </c>
      <c r="Q22" s="71"/>
      <c r="R22" s="38">
        <f t="shared" si="3"/>
        <v>107387</v>
      </c>
    </row>
    <row r="23" spans="1:20" x14ac:dyDescent="0.25">
      <c r="A23" s="1" t="s">
        <v>41</v>
      </c>
      <c r="B23" s="4" t="s">
        <v>42</v>
      </c>
      <c r="C23" s="5">
        <v>1000000</v>
      </c>
      <c r="D23" s="10"/>
      <c r="E23" s="10"/>
      <c r="F23" s="38">
        <v>0</v>
      </c>
      <c r="G23" s="38">
        <v>0</v>
      </c>
      <c r="H23" s="38">
        <v>0</v>
      </c>
      <c r="I23" s="38">
        <v>0</v>
      </c>
      <c r="J23" s="38"/>
      <c r="K23" s="38"/>
      <c r="L23" s="60"/>
      <c r="M23" s="38"/>
      <c r="N23" s="38">
        <v>0</v>
      </c>
      <c r="O23" s="71">
        <v>0</v>
      </c>
      <c r="P23" s="71">
        <v>0</v>
      </c>
      <c r="Q23" s="71"/>
      <c r="R23" s="38">
        <f t="shared" si="3"/>
        <v>0</v>
      </c>
    </row>
    <row r="24" spans="1:20" x14ac:dyDescent="0.25">
      <c r="A24" s="1" t="s">
        <v>43</v>
      </c>
      <c r="B24" s="4" t="s">
        <v>44</v>
      </c>
      <c r="C24" s="5">
        <v>19200000</v>
      </c>
      <c r="D24" s="10"/>
      <c r="E24" s="10"/>
      <c r="F24" s="38">
        <v>592737</v>
      </c>
      <c r="G24" s="38">
        <v>3754001</v>
      </c>
      <c r="H24" s="38">
        <v>1383053</v>
      </c>
      <c r="I24" s="38">
        <v>1580632</v>
      </c>
      <c r="J24" s="34">
        <v>1580632</v>
      </c>
      <c r="K24" s="38">
        <v>2766106</v>
      </c>
      <c r="L24" s="60">
        <v>1778211</v>
      </c>
      <c r="M24" s="50">
        <v>1580632</v>
      </c>
      <c r="N24" s="38">
        <v>2963685</v>
      </c>
      <c r="O24" s="70">
        <v>4149159</v>
      </c>
      <c r="P24" s="70">
        <v>3556422</v>
      </c>
      <c r="Q24" s="84">
        <v>4939475</v>
      </c>
      <c r="R24" s="38">
        <f t="shared" si="3"/>
        <v>30624745</v>
      </c>
    </row>
    <row r="25" spans="1:20" x14ac:dyDescent="0.25">
      <c r="A25" s="1" t="s">
        <v>45</v>
      </c>
      <c r="B25" s="4" t="s">
        <v>46</v>
      </c>
      <c r="C25" s="5">
        <v>41500000</v>
      </c>
      <c r="D25" s="10"/>
      <c r="E25" s="10"/>
      <c r="F25" s="38">
        <f>3929707+29730</f>
        <v>3959437</v>
      </c>
      <c r="G25" s="38">
        <v>7149644</v>
      </c>
      <c r="H25" s="38">
        <f>4883575+29730</f>
        <v>4913305</v>
      </c>
      <c r="I25" s="38">
        <f>7246416+59460</f>
        <v>7305876</v>
      </c>
      <c r="J25" s="38">
        <v>6675066</v>
      </c>
      <c r="K25" s="38">
        <f>5503382+35676</f>
        <v>5539058</v>
      </c>
      <c r="L25" s="60">
        <v>6191780</v>
      </c>
      <c r="M25" s="38">
        <v>6675066</v>
      </c>
      <c r="N25" s="38">
        <f>6689802+182205</f>
        <v>6872007</v>
      </c>
      <c r="O25" s="70">
        <v>7871814</v>
      </c>
      <c r="P25" s="79">
        <f>222695+5981261</f>
        <v>6203956</v>
      </c>
      <c r="Q25" s="84">
        <v>6408265</v>
      </c>
      <c r="R25" s="38">
        <f t="shared" si="3"/>
        <v>75765274</v>
      </c>
      <c r="S25" s="34"/>
    </row>
    <row r="26" spans="1:20" x14ac:dyDescent="0.25">
      <c r="A26" s="1" t="s">
        <v>47</v>
      </c>
      <c r="B26" s="4" t="s">
        <v>48</v>
      </c>
      <c r="C26" s="5">
        <v>1000000</v>
      </c>
      <c r="D26" s="10"/>
      <c r="E26" s="10"/>
      <c r="F26" s="38">
        <v>0</v>
      </c>
      <c r="G26" s="38">
        <v>0</v>
      </c>
      <c r="H26" s="38">
        <v>0</v>
      </c>
      <c r="I26" s="38">
        <v>0</v>
      </c>
      <c r="J26" s="38"/>
      <c r="K26" s="38"/>
      <c r="L26" s="60"/>
      <c r="M26" s="38"/>
      <c r="N26" s="38">
        <v>0</v>
      </c>
      <c r="O26" s="71">
        <v>0</v>
      </c>
      <c r="P26" s="71">
        <v>0</v>
      </c>
      <c r="Q26" s="71"/>
      <c r="R26" s="38">
        <f t="shared" si="3"/>
        <v>0</v>
      </c>
      <c r="S26" s="34"/>
    </row>
    <row r="27" spans="1:20" x14ac:dyDescent="0.25">
      <c r="A27" s="1" t="s">
        <v>49</v>
      </c>
      <c r="B27" s="4" t="s">
        <v>50</v>
      </c>
      <c r="C27" s="5">
        <v>38500000</v>
      </c>
      <c r="D27" s="10"/>
      <c r="E27" s="10"/>
      <c r="F27" s="38">
        <v>100964</v>
      </c>
      <c r="G27" s="38">
        <v>805552</v>
      </c>
      <c r="H27" s="38">
        <v>503470</v>
      </c>
      <c r="I27" s="38">
        <v>402776</v>
      </c>
      <c r="J27" s="34">
        <v>1208328</v>
      </c>
      <c r="K27" s="38"/>
      <c r="L27" s="60">
        <v>604164</v>
      </c>
      <c r="M27" s="50">
        <v>1208328</v>
      </c>
      <c r="N27" s="38">
        <v>1309022</v>
      </c>
      <c r="O27" s="70">
        <v>1006940</v>
      </c>
      <c r="P27" s="34">
        <v>604164</v>
      </c>
      <c r="Q27" s="84">
        <v>1913186</v>
      </c>
      <c r="R27" s="38">
        <f t="shared" si="3"/>
        <v>9666894</v>
      </c>
      <c r="S27" s="57"/>
      <c r="T27" s="57"/>
    </row>
    <row r="28" spans="1:20" x14ac:dyDescent="0.25">
      <c r="A28" s="1" t="s">
        <v>51</v>
      </c>
      <c r="B28" s="4" t="s">
        <v>52</v>
      </c>
      <c r="C28" s="5">
        <v>9300000</v>
      </c>
      <c r="D28" s="10"/>
      <c r="E28" s="10"/>
      <c r="F28" s="38">
        <v>211747</v>
      </c>
      <c r="G28" s="38">
        <v>142662</v>
      </c>
      <c r="H28" s="38">
        <v>206651</v>
      </c>
      <c r="I28" s="38">
        <v>246894</v>
      </c>
      <c r="J28" s="38">
        <v>307560</v>
      </c>
      <c r="K28" s="38">
        <v>260107</v>
      </c>
      <c r="L28" s="34">
        <v>402769</v>
      </c>
      <c r="M28" s="50">
        <v>307560</v>
      </c>
      <c r="N28" s="38">
        <v>273924</v>
      </c>
      <c r="O28" s="70">
        <v>219864</v>
      </c>
      <c r="P28" s="34">
        <v>232775</v>
      </c>
      <c r="Q28" s="70">
        <v>613116.6</v>
      </c>
      <c r="R28" s="38">
        <f t="shared" si="3"/>
        <v>3425629.6</v>
      </c>
      <c r="T28" s="57"/>
    </row>
    <row r="29" spans="1:20" x14ac:dyDescent="0.25">
      <c r="A29" s="1" t="s">
        <v>53</v>
      </c>
      <c r="B29" s="4" t="s">
        <v>54</v>
      </c>
      <c r="C29" s="5">
        <v>8700500</v>
      </c>
      <c r="D29" s="10"/>
      <c r="E29" s="10"/>
      <c r="F29" s="38">
        <v>5144640</v>
      </c>
      <c r="G29" s="38">
        <v>6993495</v>
      </c>
      <c r="H29" s="38">
        <v>4903485</v>
      </c>
      <c r="I29" s="38">
        <v>6109260</v>
      </c>
      <c r="J29" s="38">
        <v>4983870</v>
      </c>
      <c r="K29" s="38">
        <v>4742715</v>
      </c>
      <c r="L29" s="34">
        <v>6760953</v>
      </c>
      <c r="M29" s="50">
        <v>4983870</v>
      </c>
      <c r="N29" s="38">
        <v>7320435</v>
      </c>
      <c r="O29" s="70">
        <v>8038500</v>
      </c>
      <c r="P29" s="34">
        <v>7475805</v>
      </c>
      <c r="Q29" s="84">
        <v>11575440</v>
      </c>
      <c r="R29" s="38">
        <f t="shared" si="3"/>
        <v>79032468</v>
      </c>
      <c r="S29" s="57"/>
      <c r="T29" s="57"/>
    </row>
    <row r="30" spans="1:20" x14ac:dyDescent="0.25">
      <c r="A30" s="1" t="s">
        <v>55</v>
      </c>
      <c r="B30" s="4" t="s">
        <v>56</v>
      </c>
      <c r="C30" s="5">
        <v>7656000</v>
      </c>
      <c r="D30" s="10"/>
      <c r="E30" s="10"/>
      <c r="F30" s="38">
        <v>0</v>
      </c>
      <c r="G30" s="38">
        <v>0</v>
      </c>
      <c r="H30" s="38">
        <v>221844</v>
      </c>
      <c r="I30" s="38">
        <v>0</v>
      </c>
      <c r="J30" s="38"/>
      <c r="K30" s="38">
        <f>349604+1625865</f>
        <v>1975469</v>
      </c>
      <c r="L30" s="60">
        <v>2818166</v>
      </c>
      <c r="M30" s="50">
        <f>145258+1409083</f>
        <v>1554341</v>
      </c>
      <c r="N30" s="38">
        <v>3034948</v>
      </c>
      <c r="O30" s="70">
        <f>115714+1734256</f>
        <v>1849970</v>
      </c>
      <c r="P30" s="70"/>
      <c r="Q30" s="84">
        <v>2601384</v>
      </c>
      <c r="R30" s="38">
        <f t="shared" si="3"/>
        <v>14056122</v>
      </c>
      <c r="S30" s="34"/>
      <c r="T30" s="57"/>
    </row>
    <row r="31" spans="1:20" x14ac:dyDescent="0.25">
      <c r="A31" s="1" t="s">
        <v>57</v>
      </c>
      <c r="B31" s="4" t="s">
        <v>58</v>
      </c>
      <c r="C31" s="5">
        <v>310000</v>
      </c>
      <c r="D31" s="10"/>
      <c r="E31" s="10"/>
      <c r="F31" s="38">
        <v>0</v>
      </c>
      <c r="G31" s="38">
        <v>140750</v>
      </c>
      <c r="H31" s="38">
        <v>28150</v>
      </c>
      <c r="I31" s="38">
        <v>197050</v>
      </c>
      <c r="J31" s="34">
        <v>84450</v>
      </c>
      <c r="K31" s="38">
        <v>84450</v>
      </c>
      <c r="L31" s="60">
        <v>168900</v>
      </c>
      <c r="M31" s="50">
        <v>84450</v>
      </c>
      <c r="N31" s="38">
        <v>56300</v>
      </c>
      <c r="O31" s="70">
        <v>84450</v>
      </c>
      <c r="P31" s="70">
        <v>28150</v>
      </c>
      <c r="Q31" s="70"/>
      <c r="R31" s="38">
        <f t="shared" si="3"/>
        <v>957100</v>
      </c>
      <c r="S31" s="57"/>
    </row>
    <row r="32" spans="1:20" x14ac:dyDescent="0.25">
      <c r="A32" s="1" t="s">
        <v>59</v>
      </c>
      <c r="B32" s="4" t="s">
        <v>60</v>
      </c>
      <c r="C32" s="5">
        <v>6450000</v>
      </c>
      <c r="D32" s="10"/>
      <c r="E32" s="10"/>
      <c r="F32" s="38">
        <v>2716645</v>
      </c>
      <c r="G32" s="38">
        <v>2514947</v>
      </c>
      <c r="H32" s="38">
        <v>1548048</v>
      </c>
      <c r="I32" s="38">
        <v>0</v>
      </c>
      <c r="J32" s="38"/>
      <c r="K32" s="38"/>
      <c r="L32" s="60"/>
      <c r="M32" s="38">
        <v>1357093</v>
      </c>
      <c r="N32" s="38">
        <v>0</v>
      </c>
      <c r="O32" s="71">
        <v>0</v>
      </c>
      <c r="P32" s="71">
        <v>0</v>
      </c>
      <c r="Q32" s="71"/>
      <c r="R32" s="38">
        <f t="shared" si="3"/>
        <v>8136733</v>
      </c>
      <c r="S32" s="57"/>
      <c r="T32" s="57"/>
    </row>
    <row r="33" spans="1:21" x14ac:dyDescent="0.25">
      <c r="A33" s="1" t="s">
        <v>61</v>
      </c>
      <c r="B33" s="4" t="s">
        <v>62</v>
      </c>
      <c r="C33" s="5">
        <v>120000</v>
      </c>
      <c r="D33" s="10"/>
      <c r="E33" s="10"/>
      <c r="F33" s="38">
        <v>0</v>
      </c>
      <c r="G33" s="38">
        <v>0</v>
      </c>
      <c r="H33" s="38">
        <v>0</v>
      </c>
      <c r="I33" s="38">
        <v>0</v>
      </c>
      <c r="J33" s="38"/>
      <c r="K33" s="38"/>
      <c r="L33" s="38"/>
      <c r="M33" s="38"/>
      <c r="N33" s="38">
        <v>0</v>
      </c>
      <c r="O33" s="71">
        <v>0</v>
      </c>
      <c r="P33" s="71">
        <v>0</v>
      </c>
      <c r="Q33" s="71"/>
      <c r="R33" s="38">
        <f t="shared" si="3"/>
        <v>0</v>
      </c>
      <c r="S33" s="57"/>
      <c r="T33" s="57"/>
    </row>
    <row r="34" spans="1:21" x14ac:dyDescent="0.25">
      <c r="A34" s="1" t="s">
        <v>63</v>
      </c>
      <c r="B34" s="4" t="s">
        <v>64</v>
      </c>
      <c r="C34" s="5">
        <v>1280000</v>
      </c>
      <c r="D34" s="10"/>
      <c r="E34" s="10"/>
      <c r="F34" s="38">
        <v>86570</v>
      </c>
      <c r="G34" s="38">
        <v>302995</v>
      </c>
      <c r="H34" s="38">
        <v>86570</v>
      </c>
      <c r="I34" s="38">
        <v>302995</v>
      </c>
      <c r="J34" s="34">
        <v>173140</v>
      </c>
      <c r="K34" s="38">
        <v>346280</v>
      </c>
      <c r="L34" s="38">
        <v>129855</v>
      </c>
      <c r="M34" s="64">
        <v>173140</v>
      </c>
      <c r="N34" s="38">
        <v>43285</v>
      </c>
      <c r="O34" s="70">
        <v>216425</v>
      </c>
      <c r="P34" s="70"/>
      <c r="Q34" s="84">
        <v>216425</v>
      </c>
      <c r="R34" s="38">
        <f t="shared" si="3"/>
        <v>2077680</v>
      </c>
      <c r="S34" s="57"/>
      <c r="T34" s="57"/>
      <c r="U34" s="44"/>
    </row>
    <row r="35" spans="1:21" x14ac:dyDescent="0.25">
      <c r="A35" s="1" t="s">
        <v>65</v>
      </c>
      <c r="B35" s="4" t="s">
        <v>66</v>
      </c>
      <c r="C35" s="5">
        <v>5260000</v>
      </c>
      <c r="D35" s="10"/>
      <c r="E35" s="10"/>
      <c r="F35" s="38">
        <v>0</v>
      </c>
      <c r="G35" s="38">
        <v>0</v>
      </c>
      <c r="H35" s="38">
        <v>0</v>
      </c>
      <c r="I35" s="38">
        <v>0</v>
      </c>
      <c r="J35" s="34">
        <v>269656</v>
      </c>
      <c r="K35" s="38">
        <v>134828</v>
      </c>
      <c r="L35" s="38"/>
      <c r="M35" s="64">
        <v>269656</v>
      </c>
      <c r="N35" s="38">
        <v>0</v>
      </c>
      <c r="O35" s="71">
        <v>0</v>
      </c>
      <c r="P35" s="71">
        <v>269656</v>
      </c>
      <c r="Q35" s="84">
        <v>404484</v>
      </c>
      <c r="R35" s="38">
        <f t="shared" si="3"/>
        <v>1348280</v>
      </c>
      <c r="S35" s="57"/>
      <c r="T35" s="57"/>
    </row>
    <row r="36" spans="1:21" x14ac:dyDescent="0.25">
      <c r="A36" s="1" t="s">
        <v>67</v>
      </c>
      <c r="B36" s="4" t="s">
        <v>68</v>
      </c>
      <c r="C36" s="5">
        <v>3100000</v>
      </c>
      <c r="D36" s="10"/>
      <c r="E36" s="10"/>
      <c r="F36" s="38">
        <v>360789</v>
      </c>
      <c r="G36" s="38">
        <v>721578</v>
      </c>
      <c r="H36" s="38">
        <v>601315</v>
      </c>
      <c r="I36" s="38">
        <v>962104</v>
      </c>
      <c r="J36" s="34">
        <v>721578</v>
      </c>
      <c r="K36" s="38">
        <v>841841</v>
      </c>
      <c r="L36" s="38">
        <v>841841</v>
      </c>
      <c r="M36" s="64">
        <v>721578</v>
      </c>
      <c r="N36" s="38">
        <v>1322893</v>
      </c>
      <c r="O36" s="73">
        <v>841841</v>
      </c>
      <c r="P36" s="50">
        <v>1082367</v>
      </c>
      <c r="Q36" s="84">
        <v>1443156</v>
      </c>
      <c r="R36" s="38">
        <f t="shared" si="3"/>
        <v>10462881</v>
      </c>
      <c r="S36" s="34"/>
      <c r="T36" s="57"/>
    </row>
    <row r="37" spans="1:21" x14ac:dyDescent="0.25">
      <c r="A37" s="1" t="s">
        <v>69</v>
      </c>
      <c r="B37" s="4" t="s">
        <v>70</v>
      </c>
      <c r="C37" s="5">
        <v>635000</v>
      </c>
      <c r="D37" s="10"/>
      <c r="E37" s="10"/>
      <c r="F37" s="38">
        <v>0</v>
      </c>
      <c r="G37" s="38">
        <v>361105</v>
      </c>
      <c r="H37" s="38">
        <v>216663</v>
      </c>
      <c r="I37" s="38">
        <v>72221</v>
      </c>
      <c r="J37" s="38">
        <v>0</v>
      </c>
      <c r="K37" s="38">
        <v>216663</v>
      </c>
      <c r="L37" s="38">
        <v>16632</v>
      </c>
      <c r="M37" s="60"/>
      <c r="N37" s="38">
        <v>72221</v>
      </c>
      <c r="O37" s="73">
        <v>288884</v>
      </c>
      <c r="P37" s="50">
        <v>72221</v>
      </c>
      <c r="Q37" s="84">
        <v>288884</v>
      </c>
      <c r="R37" s="38">
        <f t="shared" si="3"/>
        <v>1605494</v>
      </c>
      <c r="S37" s="57"/>
      <c r="T37" s="57"/>
    </row>
    <row r="38" spans="1:21" x14ac:dyDescent="0.25">
      <c r="A38" s="1" t="s">
        <v>71</v>
      </c>
      <c r="B38" s="4" t="s">
        <v>72</v>
      </c>
      <c r="C38" s="5">
        <v>4350000</v>
      </c>
      <c r="D38" s="10"/>
      <c r="E38" s="10"/>
      <c r="F38" s="38">
        <v>680715</v>
      </c>
      <c r="G38" s="38">
        <v>2178288</v>
      </c>
      <c r="H38" s="38">
        <v>953001</v>
      </c>
      <c r="I38" s="38">
        <v>408429</v>
      </c>
      <c r="J38" s="34">
        <v>272286</v>
      </c>
      <c r="K38" s="38">
        <v>544572</v>
      </c>
      <c r="L38" s="38">
        <v>272286</v>
      </c>
      <c r="M38" s="34">
        <v>272286</v>
      </c>
      <c r="N38" s="38">
        <v>0</v>
      </c>
      <c r="O38" s="73">
        <v>544572</v>
      </c>
      <c r="P38" s="73">
        <v>136143</v>
      </c>
      <c r="Q38" s="84">
        <v>136143</v>
      </c>
      <c r="R38" s="38">
        <f t="shared" si="3"/>
        <v>6398721</v>
      </c>
      <c r="S38" s="65"/>
      <c r="T38" s="57"/>
    </row>
    <row r="39" spans="1:21" x14ac:dyDescent="0.25">
      <c r="A39" s="1" t="s">
        <v>73</v>
      </c>
      <c r="B39" s="4" t="s">
        <v>74</v>
      </c>
      <c r="C39" s="5">
        <v>1300000</v>
      </c>
      <c r="D39" s="10"/>
      <c r="E39" s="10"/>
      <c r="F39" s="38">
        <v>0</v>
      </c>
      <c r="G39" s="38"/>
      <c r="H39" s="38"/>
      <c r="I39" s="38">
        <v>0</v>
      </c>
      <c r="J39" s="38"/>
      <c r="K39" s="38"/>
      <c r="L39" s="60">
        <v>53343</v>
      </c>
      <c r="M39" s="38"/>
      <c r="N39" s="38">
        <v>53343</v>
      </c>
      <c r="O39" s="73">
        <v>60735</v>
      </c>
      <c r="P39" s="73"/>
      <c r="Q39" s="84">
        <v>106686</v>
      </c>
      <c r="R39" s="38">
        <f t="shared" si="3"/>
        <v>274107</v>
      </c>
      <c r="S39" s="57"/>
      <c r="T39" s="57"/>
    </row>
    <row r="40" spans="1:21" x14ac:dyDescent="0.25">
      <c r="A40" s="1" t="s">
        <v>75</v>
      </c>
      <c r="B40" s="4" t="s">
        <v>76</v>
      </c>
      <c r="C40" s="5">
        <v>1000000</v>
      </c>
      <c r="D40" s="10"/>
      <c r="E40" s="10"/>
      <c r="F40" s="38">
        <v>202038</v>
      </c>
      <c r="G40" s="38">
        <v>707133</v>
      </c>
      <c r="H40" s="38">
        <v>471422</v>
      </c>
      <c r="I40" s="38">
        <v>774479</v>
      </c>
      <c r="J40" s="38">
        <v>740806</v>
      </c>
      <c r="K40" s="38">
        <v>606114</v>
      </c>
      <c r="L40" s="34">
        <v>5358912</v>
      </c>
      <c r="M40" s="50">
        <f>740806+3185596</f>
        <v>3926402</v>
      </c>
      <c r="N40" s="38">
        <f>5969784+53514+673460</f>
        <v>6696758</v>
      </c>
      <c r="O40" s="73">
        <f>606114+75426</f>
        <v>681540</v>
      </c>
      <c r="P40" s="34">
        <v>572441</v>
      </c>
      <c r="Q40" s="84">
        <v>65406</v>
      </c>
      <c r="R40" s="38">
        <f t="shared" si="3"/>
        <v>20803451</v>
      </c>
      <c r="S40" s="35"/>
      <c r="T40" s="34"/>
    </row>
    <row r="41" spans="1:21" x14ac:dyDescent="0.25">
      <c r="A41" s="1" t="s">
        <v>77</v>
      </c>
      <c r="B41" s="4" t="s">
        <v>78</v>
      </c>
      <c r="C41" s="5">
        <v>98350000</v>
      </c>
      <c r="D41" s="10"/>
      <c r="E41" s="10"/>
      <c r="F41" s="38">
        <v>2663191.1999999997</v>
      </c>
      <c r="G41" s="38">
        <v>6895472</v>
      </c>
      <c r="H41" s="38">
        <v>6405729</v>
      </c>
      <c r="I41" s="38">
        <f>2178456+75426</f>
        <v>2253882</v>
      </c>
      <c r="J41" s="34">
        <v>3531869</v>
      </c>
      <c r="K41" s="38">
        <v>9097108</v>
      </c>
      <c r="L41" s="60">
        <v>8490831</v>
      </c>
      <c r="M41" s="35">
        <v>3903073</v>
      </c>
      <c r="N41" s="38">
        <v>1594675.5999999999</v>
      </c>
      <c r="O41" s="81">
        <v>2985746</v>
      </c>
      <c r="P41" s="34">
        <v>3250452</v>
      </c>
      <c r="Q41" s="70">
        <v>5289260.1999999993</v>
      </c>
      <c r="R41" s="38">
        <f t="shared" si="3"/>
        <v>56361289</v>
      </c>
      <c r="S41" s="34"/>
    </row>
    <row r="42" spans="1:21" x14ac:dyDescent="0.25">
      <c r="A42" s="1" t="s">
        <v>79</v>
      </c>
      <c r="B42" s="4" t="s">
        <v>80</v>
      </c>
      <c r="C42" s="5">
        <v>51400000</v>
      </c>
      <c r="D42" s="10"/>
      <c r="E42" s="10"/>
      <c r="F42" s="38">
        <v>1775460.8</v>
      </c>
      <c r="G42" s="38">
        <v>1231911</v>
      </c>
      <c r="H42" s="38">
        <v>925478</v>
      </c>
      <c r="I42" s="38">
        <v>551615</v>
      </c>
      <c r="J42" s="38">
        <v>1358746</v>
      </c>
      <c r="K42" s="38">
        <v>2456154</v>
      </c>
      <c r="L42" s="60">
        <v>1895746</v>
      </c>
      <c r="M42" s="34">
        <v>987542</v>
      </c>
      <c r="N42" s="38">
        <f>683432+75426</f>
        <v>758858</v>
      </c>
      <c r="O42" s="71">
        <v>973695</v>
      </c>
      <c r="P42" s="71">
        <v>1025478</v>
      </c>
      <c r="Q42" s="71">
        <v>2266825.7999999998</v>
      </c>
      <c r="R42" s="38">
        <f t="shared" si="3"/>
        <v>16207509.600000001</v>
      </c>
      <c r="S42" s="61"/>
    </row>
    <row r="43" spans="1:21" x14ac:dyDescent="0.25">
      <c r="A43" s="1" t="s">
        <v>81</v>
      </c>
      <c r="B43" s="4" t="s">
        <v>82</v>
      </c>
      <c r="C43" s="5">
        <v>19200000</v>
      </c>
      <c r="D43" s="10"/>
      <c r="E43" s="10"/>
      <c r="F43" s="38">
        <v>262776</v>
      </c>
      <c r="G43" s="38">
        <v>919716</v>
      </c>
      <c r="H43" s="38">
        <v>613144</v>
      </c>
      <c r="I43" s="38">
        <v>1007308</v>
      </c>
      <c r="J43" s="34">
        <v>963512</v>
      </c>
      <c r="K43" s="38">
        <v>788328</v>
      </c>
      <c r="L43" s="60">
        <v>569348</v>
      </c>
      <c r="M43" s="50">
        <v>963512</v>
      </c>
      <c r="N43" s="38">
        <v>0</v>
      </c>
      <c r="O43" s="70">
        <v>788328</v>
      </c>
      <c r="P43" s="34">
        <v>744532</v>
      </c>
      <c r="Q43" s="84">
        <v>656940</v>
      </c>
      <c r="R43" s="38">
        <f t="shared" si="3"/>
        <v>8277444</v>
      </c>
      <c r="S43" s="59"/>
    </row>
    <row r="44" spans="1:21" x14ac:dyDescent="0.25">
      <c r="A44" s="1" t="s">
        <v>83</v>
      </c>
      <c r="B44" s="4" t="s">
        <v>84</v>
      </c>
      <c r="C44" s="5">
        <v>19200000</v>
      </c>
      <c r="D44" s="10"/>
      <c r="E44" s="10"/>
      <c r="F44" s="38">
        <v>1139780</v>
      </c>
      <c r="G44" s="38">
        <v>3263472</v>
      </c>
      <c r="H44" s="38">
        <v>4010832</v>
      </c>
      <c r="I44" s="38">
        <v>9050596</v>
      </c>
      <c r="J44" s="34">
        <f>3350088+76140</f>
        <v>3426228</v>
      </c>
      <c r="K44" s="38">
        <v>6271596</v>
      </c>
      <c r="L44" s="60">
        <v>8173860</v>
      </c>
      <c r="M44" s="50">
        <v>3426228</v>
      </c>
      <c r="N44" s="38">
        <v>3985920</v>
      </c>
      <c r="O44" s="71">
        <v>4826750</v>
      </c>
      <c r="P44" s="71">
        <v>3126644</v>
      </c>
      <c r="Q44" s="84">
        <v>1202004</v>
      </c>
      <c r="R44" s="38">
        <f t="shared" si="3"/>
        <v>51903910</v>
      </c>
      <c r="S44" s="59"/>
    </row>
    <row r="45" spans="1:21" x14ac:dyDescent="0.25">
      <c r="A45" s="1" t="s">
        <v>85</v>
      </c>
      <c r="B45" s="4" t="s">
        <v>86</v>
      </c>
      <c r="C45" s="5">
        <v>1000000</v>
      </c>
      <c r="D45" s="10"/>
      <c r="E45" s="10"/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/>
      <c r="L45" s="38"/>
      <c r="M45" s="34"/>
      <c r="N45" s="38">
        <v>0</v>
      </c>
      <c r="O45" s="71">
        <v>0</v>
      </c>
      <c r="P45" s="71"/>
      <c r="Q45" s="71"/>
      <c r="R45" s="38">
        <f t="shared" si="3"/>
        <v>0</v>
      </c>
      <c r="S45" s="59"/>
    </row>
    <row r="46" spans="1:21" x14ac:dyDescent="0.25">
      <c r="A46" s="1" t="s">
        <v>87</v>
      </c>
      <c r="B46" s="4" t="s">
        <v>88</v>
      </c>
      <c r="C46" s="5">
        <v>1000000</v>
      </c>
      <c r="D46" s="10"/>
      <c r="E46" s="10"/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/>
      <c r="L46" s="38"/>
      <c r="M46" s="38"/>
      <c r="N46" s="38">
        <v>0</v>
      </c>
      <c r="O46" s="71">
        <v>0</v>
      </c>
      <c r="P46" s="71"/>
      <c r="Q46" s="84">
        <f>117438</f>
        <v>117438</v>
      </c>
      <c r="R46" s="38">
        <f t="shared" si="3"/>
        <v>117438</v>
      </c>
      <c r="S46" s="59"/>
    </row>
    <row r="47" spans="1:21" x14ac:dyDescent="0.25">
      <c r="A47" s="1" t="s">
        <v>89</v>
      </c>
      <c r="B47" s="4" t="s">
        <v>90</v>
      </c>
      <c r="C47" s="5">
        <v>12700000</v>
      </c>
      <c r="D47" s="10"/>
      <c r="E47" s="10"/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/>
      <c r="L47" s="60"/>
      <c r="M47" s="38"/>
      <c r="N47" s="38">
        <v>0</v>
      </c>
      <c r="O47" s="71">
        <v>0</v>
      </c>
      <c r="Q47" s="84">
        <v>505095</v>
      </c>
      <c r="R47" s="38">
        <f t="shared" si="3"/>
        <v>505095</v>
      </c>
      <c r="S47" s="34"/>
    </row>
    <row r="48" spans="1:21" x14ac:dyDescent="0.25">
      <c r="A48" s="1" t="s">
        <v>91</v>
      </c>
      <c r="B48" s="4" t="s">
        <v>92</v>
      </c>
      <c r="C48" s="5">
        <v>1000000</v>
      </c>
      <c r="D48" s="10"/>
      <c r="E48" s="10"/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/>
      <c r="L48" s="60"/>
      <c r="M48" s="38"/>
      <c r="N48" s="38">
        <v>0</v>
      </c>
      <c r="O48" s="71">
        <v>0</v>
      </c>
      <c r="P48" s="71"/>
      <c r="Q48" s="71"/>
      <c r="R48" s="38">
        <f t="shared" si="3"/>
        <v>0</v>
      </c>
    </row>
    <row r="49" spans="1:20" x14ac:dyDescent="0.25">
      <c r="A49" s="1" t="s">
        <v>93</v>
      </c>
      <c r="B49" s="4" t="s">
        <v>94</v>
      </c>
      <c r="C49" s="5">
        <v>1000000</v>
      </c>
      <c r="D49" s="10"/>
      <c r="E49" s="10"/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/>
      <c r="L49" s="60"/>
      <c r="M49" s="38"/>
      <c r="N49" s="38">
        <v>0</v>
      </c>
      <c r="O49" s="71">
        <v>0</v>
      </c>
      <c r="P49" s="71"/>
      <c r="Q49" s="71"/>
      <c r="R49" s="38">
        <f t="shared" si="3"/>
        <v>0</v>
      </c>
    </row>
    <row r="50" spans="1:20" x14ac:dyDescent="0.25">
      <c r="A50" s="1" t="s">
        <v>95</v>
      </c>
      <c r="B50" s="4" t="s">
        <v>96</v>
      </c>
      <c r="C50" s="5">
        <v>1000000</v>
      </c>
      <c r="D50" s="10"/>
      <c r="E50" s="10"/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/>
      <c r="L50" s="60"/>
      <c r="M50" s="38"/>
      <c r="N50" s="38">
        <v>0</v>
      </c>
      <c r="O50" s="71">
        <v>0</v>
      </c>
      <c r="P50" s="71"/>
      <c r="Q50" s="71"/>
      <c r="R50" s="38">
        <f t="shared" si="3"/>
        <v>0</v>
      </c>
    </row>
    <row r="51" spans="1:20" x14ac:dyDescent="0.25">
      <c r="A51" s="1" t="s">
        <v>97</v>
      </c>
      <c r="B51" s="4" t="s">
        <v>98</v>
      </c>
      <c r="C51" s="5">
        <v>1000000</v>
      </c>
      <c r="D51" s="10"/>
      <c r="E51" s="10"/>
      <c r="F51" s="38">
        <v>121654</v>
      </c>
      <c r="G51" s="38">
        <v>243308</v>
      </c>
      <c r="H51" s="38">
        <v>0</v>
      </c>
      <c r="I51" s="38">
        <v>243308</v>
      </c>
      <c r="J51" s="34">
        <v>364962</v>
      </c>
      <c r="K51" s="38"/>
      <c r="L51" s="60">
        <v>243308</v>
      </c>
      <c r="M51" s="50">
        <v>364962</v>
      </c>
      <c r="N51" s="38">
        <v>243308</v>
      </c>
      <c r="O51" s="70">
        <v>243308</v>
      </c>
      <c r="P51" s="34">
        <v>243308</v>
      </c>
      <c r="Q51" s="34"/>
      <c r="R51" s="38">
        <f t="shared" si="3"/>
        <v>2311426</v>
      </c>
    </row>
    <row r="52" spans="1:20" x14ac:dyDescent="0.25">
      <c r="A52" s="1" t="s">
        <v>99</v>
      </c>
      <c r="B52" s="4" t="s">
        <v>100</v>
      </c>
      <c r="C52" s="5">
        <v>1000000</v>
      </c>
      <c r="D52" s="10"/>
      <c r="E52" s="10"/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/>
      <c r="L52" s="60"/>
      <c r="M52" s="38"/>
      <c r="N52" s="38">
        <v>0</v>
      </c>
      <c r="O52" s="71">
        <v>0</v>
      </c>
      <c r="P52" s="71"/>
      <c r="Q52" s="71"/>
      <c r="R52" s="38">
        <f t="shared" si="3"/>
        <v>0</v>
      </c>
    </row>
    <row r="53" spans="1:20" x14ac:dyDescent="0.25">
      <c r="A53" s="1" t="s">
        <v>101</v>
      </c>
      <c r="B53" s="4" t="s">
        <v>102</v>
      </c>
      <c r="C53" s="5">
        <v>1000000</v>
      </c>
      <c r="D53" s="10"/>
      <c r="E53" s="10"/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/>
      <c r="L53" s="60"/>
      <c r="M53" s="38"/>
      <c r="N53" s="38">
        <v>0</v>
      </c>
      <c r="O53" s="71">
        <v>0</v>
      </c>
      <c r="P53" s="71"/>
      <c r="Q53" s="71"/>
      <c r="R53" s="38">
        <f t="shared" si="3"/>
        <v>0</v>
      </c>
    </row>
    <row r="54" spans="1:20" x14ac:dyDescent="0.25">
      <c r="A54" s="1" t="s">
        <v>103</v>
      </c>
      <c r="B54" s="4" t="s">
        <v>104</v>
      </c>
      <c r="C54" s="5">
        <v>1000000</v>
      </c>
      <c r="D54" s="10"/>
      <c r="E54" s="10"/>
      <c r="F54" s="38">
        <v>2059429</v>
      </c>
      <c r="G54" s="38">
        <v>1734256</v>
      </c>
      <c r="H54" s="38">
        <v>1842647</v>
      </c>
      <c r="I54" s="38">
        <v>2384602</v>
      </c>
      <c r="J54" s="34">
        <v>1409083</v>
      </c>
      <c r="K54" s="34"/>
      <c r="L54" s="60"/>
      <c r="M54" s="38"/>
      <c r="N54" s="38">
        <v>0</v>
      </c>
      <c r="O54" s="71">
        <v>0</v>
      </c>
      <c r="P54" s="71"/>
      <c r="Q54" s="71"/>
      <c r="R54" s="38">
        <f t="shared" si="3"/>
        <v>9430017</v>
      </c>
    </row>
    <row r="55" spans="1:20" x14ac:dyDescent="0.25">
      <c r="A55" s="1" t="s">
        <v>105</v>
      </c>
      <c r="B55" s="4" t="s">
        <v>106</v>
      </c>
      <c r="C55" s="5">
        <v>100000</v>
      </c>
      <c r="D55" s="10"/>
      <c r="E55" s="10"/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/>
      <c r="L55" s="60"/>
      <c r="M55" s="38"/>
      <c r="N55" s="38">
        <v>75426</v>
      </c>
      <c r="O55" s="71">
        <v>0</v>
      </c>
      <c r="P55" s="71">
        <v>226278</v>
      </c>
      <c r="Q55" s="71"/>
      <c r="R55" s="38">
        <f t="shared" si="3"/>
        <v>301704</v>
      </c>
    </row>
    <row r="56" spans="1:20" x14ac:dyDescent="0.25">
      <c r="A56" s="1" t="s">
        <v>107</v>
      </c>
      <c r="B56" s="4" t="s">
        <v>108</v>
      </c>
      <c r="C56" s="5">
        <v>100000</v>
      </c>
      <c r="D56" s="10"/>
      <c r="E56" s="10"/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/>
      <c r="L56" s="60">
        <v>68562</v>
      </c>
      <c r="M56" s="38"/>
      <c r="N56" s="38">
        <v>68562</v>
      </c>
      <c r="O56" s="71">
        <v>0</v>
      </c>
      <c r="P56" s="71"/>
      <c r="Q56" s="71"/>
      <c r="R56" s="38">
        <f t="shared" si="3"/>
        <v>137124</v>
      </c>
    </row>
    <row r="57" spans="1:20" x14ac:dyDescent="0.25">
      <c r="A57" s="1" t="s">
        <v>109</v>
      </c>
      <c r="B57" s="4" t="s">
        <v>110</v>
      </c>
      <c r="C57" s="5">
        <v>100000</v>
      </c>
      <c r="D57" s="10"/>
      <c r="E57" s="10"/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/>
      <c r="L57" s="60"/>
      <c r="M57" s="38"/>
      <c r="N57" s="38">
        <v>0</v>
      </c>
      <c r="O57" s="71">
        <v>0</v>
      </c>
      <c r="P57" s="71"/>
      <c r="Q57" s="71"/>
      <c r="R57" s="38">
        <f t="shared" si="3"/>
        <v>0</v>
      </c>
    </row>
    <row r="58" spans="1:20" x14ac:dyDescent="0.25">
      <c r="A58" s="1" t="s">
        <v>111</v>
      </c>
      <c r="B58" s="4" t="s">
        <v>112</v>
      </c>
      <c r="C58" s="5">
        <v>1000000</v>
      </c>
      <c r="D58" s="10"/>
      <c r="E58" s="10"/>
      <c r="F58" s="38">
        <v>117438</v>
      </c>
      <c r="G58" s="38">
        <v>117438</v>
      </c>
      <c r="H58" s="38">
        <v>117438</v>
      </c>
      <c r="I58" s="38">
        <v>352314</v>
      </c>
      <c r="J58" s="50">
        <v>234876</v>
      </c>
      <c r="K58" s="38">
        <v>117438</v>
      </c>
      <c r="L58" s="34">
        <v>822066</v>
      </c>
      <c r="M58" s="50">
        <v>234876</v>
      </c>
      <c r="N58" s="38">
        <v>0</v>
      </c>
      <c r="O58" s="71">
        <v>352314</v>
      </c>
      <c r="P58" s="71">
        <v>234876</v>
      </c>
      <c r="Q58" s="84">
        <v>117438</v>
      </c>
      <c r="R58" s="38">
        <f t="shared" si="3"/>
        <v>2818512</v>
      </c>
      <c r="S58" s="34"/>
    </row>
    <row r="59" spans="1:20" x14ac:dyDescent="0.25">
      <c r="A59" s="1" t="s">
        <v>113</v>
      </c>
      <c r="B59" s="4" t="s">
        <v>114</v>
      </c>
      <c r="C59" s="5">
        <v>382000</v>
      </c>
      <c r="D59" s="10"/>
      <c r="E59" s="10"/>
      <c r="F59" s="38">
        <v>0</v>
      </c>
      <c r="G59" s="38">
        <v>0</v>
      </c>
      <c r="H59" s="38">
        <v>0</v>
      </c>
      <c r="I59" s="38">
        <v>0</v>
      </c>
      <c r="J59" s="50">
        <v>68264</v>
      </c>
      <c r="K59" s="38"/>
      <c r="L59" s="60"/>
      <c r="M59" s="50">
        <v>68264</v>
      </c>
      <c r="N59" s="38">
        <v>0</v>
      </c>
      <c r="O59" s="71">
        <v>0</v>
      </c>
      <c r="P59" s="71"/>
      <c r="Q59" s="84">
        <v>196114</v>
      </c>
      <c r="R59" s="38">
        <f t="shared" si="3"/>
        <v>332642</v>
      </c>
    </row>
    <row r="60" spans="1:20" x14ac:dyDescent="0.25">
      <c r="A60" s="1" t="s">
        <v>115</v>
      </c>
      <c r="B60" s="4" t="s">
        <v>116</v>
      </c>
      <c r="C60" s="5">
        <v>100000</v>
      </c>
      <c r="D60" s="10"/>
      <c r="E60" s="10"/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/>
      <c r="L60" s="60"/>
      <c r="M60" s="38"/>
      <c r="N60" s="38">
        <v>0</v>
      </c>
      <c r="O60" s="71">
        <v>0</v>
      </c>
      <c r="P60" s="71"/>
      <c r="Q60" s="71"/>
      <c r="R60" s="38">
        <f t="shared" si="3"/>
        <v>0</v>
      </c>
      <c r="T60" s="35"/>
    </row>
    <row r="61" spans="1:20" x14ac:dyDescent="0.25">
      <c r="A61" s="1" t="s">
        <v>117</v>
      </c>
      <c r="B61" s="4" t="s">
        <v>118</v>
      </c>
      <c r="C61" s="5">
        <v>100000</v>
      </c>
      <c r="D61" s="10"/>
      <c r="E61" s="10"/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/>
      <c r="L61" s="60"/>
      <c r="M61" s="38"/>
      <c r="N61" s="38">
        <v>0</v>
      </c>
      <c r="O61" s="71">
        <v>0</v>
      </c>
      <c r="P61" s="71"/>
      <c r="Q61" s="71"/>
      <c r="R61" s="38">
        <f t="shared" si="3"/>
        <v>0</v>
      </c>
      <c r="S61" s="84"/>
    </row>
    <row r="62" spans="1:20" x14ac:dyDescent="0.25">
      <c r="A62" s="1" t="s">
        <v>119</v>
      </c>
      <c r="B62" s="4" t="s">
        <v>120</v>
      </c>
      <c r="C62" s="5">
        <v>100000</v>
      </c>
      <c r="D62" s="10"/>
      <c r="E62" s="10"/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/>
      <c r="L62" s="60"/>
      <c r="M62" s="38"/>
      <c r="N62" s="38">
        <v>0</v>
      </c>
      <c r="O62" s="71">
        <v>0</v>
      </c>
      <c r="P62" s="71"/>
      <c r="Q62" s="71"/>
      <c r="R62" s="38">
        <f t="shared" si="3"/>
        <v>0</v>
      </c>
    </row>
    <row r="63" spans="1:20" x14ac:dyDescent="0.25">
      <c r="A63" s="1" t="s">
        <v>121</v>
      </c>
      <c r="B63" s="4" t="s">
        <v>122</v>
      </c>
      <c r="C63" s="5">
        <v>100000</v>
      </c>
      <c r="D63" s="10"/>
      <c r="E63" s="10"/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/>
      <c r="L63" s="60"/>
      <c r="M63" s="38"/>
      <c r="N63" s="38">
        <v>0</v>
      </c>
      <c r="O63" s="71">
        <v>0</v>
      </c>
      <c r="P63" s="71"/>
      <c r="Q63" s="71"/>
      <c r="R63" s="38">
        <f t="shared" si="3"/>
        <v>0</v>
      </c>
    </row>
    <row r="64" spans="1:20" x14ac:dyDescent="0.25">
      <c r="A64" s="1" t="s">
        <v>123</v>
      </c>
      <c r="B64" s="4" t="s">
        <v>124</v>
      </c>
      <c r="C64" s="5">
        <v>2900000000</v>
      </c>
      <c r="D64" s="10"/>
      <c r="E64" s="10"/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/>
      <c r="L64" s="60"/>
      <c r="M64" s="38"/>
      <c r="N64" s="38">
        <v>0</v>
      </c>
      <c r="O64" s="71">
        <v>0</v>
      </c>
      <c r="P64" s="71"/>
      <c r="Q64" s="71"/>
      <c r="R64" s="38">
        <f t="shared" si="3"/>
        <v>0</v>
      </c>
    </row>
    <row r="65" spans="1:21" x14ac:dyDescent="0.25">
      <c r="A65" s="1" t="s">
        <v>125</v>
      </c>
      <c r="B65" s="4" t="s">
        <v>126</v>
      </c>
      <c r="C65" s="6">
        <v>100000</v>
      </c>
      <c r="D65" s="10"/>
      <c r="E65" s="10"/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/>
      <c r="L65" s="60">
        <v>41265</v>
      </c>
      <c r="M65" s="38"/>
      <c r="N65" s="38">
        <v>0</v>
      </c>
      <c r="O65" s="71">
        <v>0</v>
      </c>
      <c r="P65" s="71"/>
      <c r="Q65" s="71"/>
      <c r="R65" s="38">
        <f t="shared" si="3"/>
        <v>41265</v>
      </c>
    </row>
    <row r="66" spans="1:21" x14ac:dyDescent="0.25">
      <c r="A66" s="1" t="s">
        <v>127</v>
      </c>
      <c r="B66" s="4" t="s">
        <v>128</v>
      </c>
      <c r="C66" s="6">
        <v>16800000</v>
      </c>
      <c r="D66" s="10"/>
      <c r="E66" s="10"/>
      <c r="F66" s="38">
        <v>3135130</v>
      </c>
      <c r="G66" s="38">
        <v>5237268</v>
      </c>
      <c r="H66" s="38">
        <v>5307726</v>
      </c>
      <c r="I66" s="38">
        <v>4601296</v>
      </c>
      <c r="J66" s="38">
        <v>2879026</v>
      </c>
      <c r="K66" s="38">
        <v>2552464</v>
      </c>
      <c r="L66" s="34">
        <v>20153182</v>
      </c>
      <c r="M66" s="50">
        <v>2879026</v>
      </c>
      <c r="N66" s="38">
        <v>4919282</v>
      </c>
      <c r="O66" s="71">
        <v>7772580</v>
      </c>
      <c r="P66" s="71">
        <v>6827198</v>
      </c>
      <c r="Q66" s="71">
        <v>495056</v>
      </c>
      <c r="R66" s="38">
        <f t="shared" si="3"/>
        <v>66759234</v>
      </c>
      <c r="S66" s="84"/>
    </row>
    <row r="67" spans="1:21" x14ac:dyDescent="0.25">
      <c r="A67" s="1" t="s">
        <v>129</v>
      </c>
      <c r="B67" s="4" t="s">
        <v>130</v>
      </c>
      <c r="C67" s="6">
        <v>760000000</v>
      </c>
      <c r="D67" s="10"/>
      <c r="E67" s="10"/>
      <c r="F67" s="38">
        <v>105673422</v>
      </c>
      <c r="G67" s="38">
        <v>155678612</v>
      </c>
      <c r="H67" s="38">
        <v>97908686</v>
      </c>
      <c r="I67" s="38">
        <v>88776823</v>
      </c>
      <c r="J67" s="38">
        <v>69358199</v>
      </c>
      <c r="K67" s="38">
        <v>82524118</v>
      </c>
      <c r="L67" s="34">
        <v>90015143</v>
      </c>
      <c r="M67" s="50">
        <v>69358199</v>
      </c>
      <c r="N67" s="38">
        <v>66623172</v>
      </c>
      <c r="O67" s="71">
        <v>87017437</v>
      </c>
      <c r="P67" s="71">
        <v>50559408</v>
      </c>
      <c r="Q67" s="87">
        <v>87638862</v>
      </c>
      <c r="R67" s="38">
        <f t="shared" si="3"/>
        <v>1051132081</v>
      </c>
      <c r="S67" s="78"/>
    </row>
    <row r="68" spans="1:21" x14ac:dyDescent="0.25">
      <c r="A68" s="1" t="s">
        <v>131</v>
      </c>
      <c r="B68" s="4" t="s">
        <v>132</v>
      </c>
      <c r="C68" s="6">
        <v>171500000</v>
      </c>
      <c r="D68" s="10"/>
      <c r="E68" s="10"/>
      <c r="F68" s="38">
        <f>31669241+1299221</f>
        <v>32968462</v>
      </c>
      <c r="G68" s="38">
        <v>35400318</v>
      </c>
      <c r="H68" s="38">
        <v>36888634</v>
      </c>
      <c r="I68" s="38">
        <f>30932876+11692986</f>
        <v>42625862</v>
      </c>
      <c r="J68" s="38">
        <f>842802+11692989+340285+28868620</f>
        <v>41744696</v>
      </c>
      <c r="K68" s="38">
        <f>21620824+82530+3897663</f>
        <v>25601017</v>
      </c>
      <c r="L68" s="60">
        <f>39679953+3897663</f>
        <v>43577616</v>
      </c>
      <c r="M68" s="50">
        <f>28868620+842802</f>
        <v>29711422</v>
      </c>
      <c r="N68" s="38">
        <f>36099350+181979</f>
        <v>36281329</v>
      </c>
      <c r="O68" s="71">
        <f>31883348+11879978+1299221</f>
        <v>45062547</v>
      </c>
      <c r="P68" s="71">
        <f>29076414+674693+7795326+117348</f>
        <v>37663781</v>
      </c>
      <c r="Q68" s="87">
        <f>40056+47566599+3897663+200000000</f>
        <v>251504318</v>
      </c>
      <c r="R68" s="38">
        <f t="shared" si="3"/>
        <v>659030002</v>
      </c>
      <c r="S68" s="34"/>
      <c r="T68" s="45"/>
    </row>
    <row r="69" spans="1:21" x14ac:dyDescent="0.25">
      <c r="A69" s="8"/>
      <c r="B69" s="2" t="s">
        <v>133</v>
      </c>
      <c r="C69" s="3">
        <f>C3+C5</f>
        <v>13991781500</v>
      </c>
      <c r="D69" s="10"/>
      <c r="E69" s="10"/>
      <c r="F69" s="3">
        <f>F3+F5</f>
        <v>922571549</v>
      </c>
      <c r="G69" s="39">
        <f t="shared" ref="G69:R69" si="4">G3+G5</f>
        <v>1215722675</v>
      </c>
      <c r="H69" s="39">
        <f t="shared" si="4"/>
        <v>1030794480</v>
      </c>
      <c r="I69" s="39">
        <f t="shared" si="4"/>
        <v>897475834</v>
      </c>
      <c r="J69" s="39">
        <f t="shared" si="4"/>
        <v>760151928</v>
      </c>
      <c r="K69" s="39">
        <f t="shared" si="4"/>
        <v>736346683</v>
      </c>
      <c r="L69" s="39">
        <f t="shared" si="4"/>
        <v>834730919</v>
      </c>
      <c r="M69" s="39">
        <f t="shared" si="4"/>
        <v>706382927</v>
      </c>
      <c r="N69" s="39">
        <f t="shared" si="4"/>
        <v>716695096.60000002</v>
      </c>
      <c r="O69" s="39">
        <f t="shared" si="4"/>
        <v>707875341</v>
      </c>
      <c r="P69" s="39">
        <f t="shared" si="4"/>
        <v>834831702</v>
      </c>
      <c r="Q69" s="39">
        <f t="shared" si="4"/>
        <v>1735889027.5999999</v>
      </c>
      <c r="R69" s="3">
        <f t="shared" si="4"/>
        <v>11099468162.200001</v>
      </c>
      <c r="S69" s="78"/>
      <c r="T69" s="45"/>
    </row>
    <row r="70" spans="1:21" x14ac:dyDescent="0.25">
      <c r="A70" s="1" t="s">
        <v>134</v>
      </c>
      <c r="B70" s="9" t="s">
        <v>135</v>
      </c>
      <c r="C70" s="10"/>
      <c r="D70" s="10"/>
      <c r="E70" s="10"/>
      <c r="F70" s="38">
        <v>0</v>
      </c>
      <c r="G70" s="38">
        <v>0</v>
      </c>
      <c r="H70" s="38">
        <v>0</v>
      </c>
      <c r="I70" s="38">
        <v>0</v>
      </c>
      <c r="J70" s="38"/>
      <c r="K70" s="39"/>
      <c r="L70" s="39"/>
      <c r="M70" s="3"/>
      <c r="N70" s="3"/>
      <c r="O70" s="3"/>
      <c r="P70" s="3"/>
      <c r="Q70" s="3"/>
      <c r="R70" s="38">
        <v>0</v>
      </c>
      <c r="S70" s="78"/>
      <c r="T70" s="35"/>
    </row>
    <row r="71" spans="1:21" x14ac:dyDescent="0.25">
      <c r="A71" s="1" t="s">
        <v>136</v>
      </c>
      <c r="B71" s="2" t="s">
        <v>137</v>
      </c>
      <c r="C71" s="3">
        <v>0</v>
      </c>
      <c r="D71" s="10"/>
      <c r="E71" s="10"/>
      <c r="F71" s="38">
        <v>0</v>
      </c>
      <c r="G71" s="38">
        <v>0</v>
      </c>
      <c r="H71" s="38">
        <v>0</v>
      </c>
      <c r="I71" s="38">
        <v>0</v>
      </c>
      <c r="J71" s="38"/>
      <c r="K71" s="39"/>
      <c r="L71" s="39"/>
      <c r="M71" s="3"/>
      <c r="N71" s="3"/>
      <c r="O71" s="3"/>
      <c r="P71" s="3"/>
      <c r="Q71" s="3"/>
      <c r="R71" s="38">
        <v>0</v>
      </c>
      <c r="S71" s="63"/>
    </row>
    <row r="72" spans="1:21" x14ac:dyDescent="0.25">
      <c r="A72" s="1" t="s">
        <v>138</v>
      </c>
      <c r="B72" s="2" t="s">
        <v>139</v>
      </c>
      <c r="C72" s="3">
        <f>+C73+C74+C75+C76</f>
        <v>4478105772</v>
      </c>
      <c r="D72" s="5"/>
      <c r="E72" s="10"/>
      <c r="F72" s="3">
        <f>+F73+F74+F75+F76</f>
        <v>434833522</v>
      </c>
      <c r="G72" s="39">
        <f t="shared" ref="G72:R72" si="5">+G73+G74+G75+G76</f>
        <v>413925024</v>
      </c>
      <c r="H72" s="39">
        <f t="shared" si="5"/>
        <v>403610339</v>
      </c>
      <c r="I72" s="39">
        <f t="shared" si="5"/>
        <v>440075411</v>
      </c>
      <c r="J72" s="39">
        <f t="shared" si="5"/>
        <v>385472056</v>
      </c>
      <c r="K72" s="39">
        <f t="shared" si="5"/>
        <v>350397620</v>
      </c>
      <c r="L72" s="39">
        <f t="shared" si="5"/>
        <v>398524087</v>
      </c>
      <c r="M72" s="39">
        <f t="shared" si="5"/>
        <v>349550723</v>
      </c>
      <c r="N72" s="39">
        <f t="shared" si="5"/>
        <v>330562031</v>
      </c>
      <c r="O72" s="39">
        <f t="shared" si="5"/>
        <v>353752908</v>
      </c>
      <c r="P72" s="39">
        <f t="shared" si="5"/>
        <v>313080438</v>
      </c>
      <c r="Q72" s="39">
        <f t="shared" si="5"/>
        <v>714707626</v>
      </c>
      <c r="R72" s="3">
        <f t="shared" si="5"/>
        <v>4888491785</v>
      </c>
      <c r="S72" s="45"/>
      <c r="T72" s="45"/>
    </row>
    <row r="73" spans="1:21" x14ac:dyDescent="0.25">
      <c r="A73" s="1" t="s">
        <v>140</v>
      </c>
      <c r="B73" s="4" t="s">
        <v>141</v>
      </c>
      <c r="C73" s="5">
        <v>1985000000</v>
      </c>
      <c r="D73" s="10"/>
      <c r="E73" s="10"/>
      <c r="F73" s="38">
        <f>117730572+159243718</f>
        <v>276974290</v>
      </c>
      <c r="G73" s="38">
        <f>82249280+126064045+8324596</f>
        <v>216637921</v>
      </c>
      <c r="H73" s="38">
        <v>161287562</v>
      </c>
      <c r="I73" s="38">
        <v>257919901</v>
      </c>
      <c r="J73" s="38">
        <v>258116696</v>
      </c>
      <c r="K73" s="39">
        <v>235874692</v>
      </c>
      <c r="L73" s="39">
        <v>265987423</v>
      </c>
      <c r="M73" s="3">
        <v>207194808</v>
      </c>
      <c r="N73" s="3">
        <v>195842147</v>
      </c>
      <c r="O73" s="71">
        <v>159441874</v>
      </c>
      <c r="P73" s="71">
        <v>197674117</v>
      </c>
      <c r="Q73" s="71">
        <v>468985472</v>
      </c>
      <c r="R73" s="38">
        <f t="shared" ref="R73:R76" si="6">F73+G73+H73+I73+J73+K73+L73+M73+N73+O73+P73+Q73</f>
        <v>2901936903</v>
      </c>
      <c r="S73" s="63"/>
      <c r="T73" s="45"/>
      <c r="U73" s="45"/>
    </row>
    <row r="74" spans="1:21" x14ac:dyDescent="0.25">
      <c r="A74" s="1" t="s">
        <v>142</v>
      </c>
      <c r="B74" s="4" t="s">
        <v>143</v>
      </c>
      <c r="C74" s="5">
        <v>831000000</v>
      </c>
      <c r="D74" s="10"/>
      <c r="E74" s="10"/>
      <c r="F74" s="38">
        <f>75088380+7488392</f>
        <v>82576772</v>
      </c>
      <c r="G74" s="38">
        <v>79090827</v>
      </c>
      <c r="H74" s="38">
        <v>72267366</v>
      </c>
      <c r="I74" s="38">
        <v>80730716</v>
      </c>
      <c r="J74" s="38">
        <v>74815608</v>
      </c>
      <c r="K74" s="39">
        <v>57887418</v>
      </c>
      <c r="L74" s="39">
        <v>56669186</v>
      </c>
      <c r="M74" s="3">
        <v>74815608</v>
      </c>
      <c r="N74" s="3">
        <v>60256269</v>
      </c>
      <c r="O74" s="71">
        <v>90655732</v>
      </c>
      <c r="P74" s="71">
        <v>49924560</v>
      </c>
      <c r="Q74" s="71">
        <v>123648175</v>
      </c>
      <c r="R74" s="38">
        <f t="shared" si="6"/>
        <v>903338237</v>
      </c>
      <c r="S74" s="63"/>
      <c r="T74" s="35"/>
      <c r="U74" s="35"/>
    </row>
    <row r="75" spans="1:21" x14ac:dyDescent="0.25">
      <c r="A75" s="1" t="s">
        <v>144</v>
      </c>
      <c r="B75" s="4" t="s">
        <v>145</v>
      </c>
      <c r="C75" s="5">
        <v>831000000</v>
      </c>
      <c r="D75" s="10"/>
      <c r="E75" s="10"/>
      <c r="F75" s="38">
        <v>73744945</v>
      </c>
      <c r="G75" s="38">
        <v>116714064</v>
      </c>
      <c r="H75" s="38">
        <v>168605334</v>
      </c>
      <c r="I75" s="38">
        <f>97338664+2560328</f>
        <v>99898992</v>
      </c>
      <c r="J75" s="35">
        <v>50846851</v>
      </c>
      <c r="K75" s="39">
        <v>54879215</v>
      </c>
      <c r="L75" s="39">
        <v>71729012</v>
      </c>
      <c r="M75" s="3">
        <v>65847406</v>
      </c>
      <c r="N75" s="3">
        <v>71368248</v>
      </c>
      <c r="O75" s="71">
        <v>98540944</v>
      </c>
      <c r="P75" s="71">
        <v>59472361</v>
      </c>
      <c r="Q75" s="71">
        <v>95379461</v>
      </c>
      <c r="R75" s="38">
        <f t="shared" si="6"/>
        <v>1027026833</v>
      </c>
      <c r="S75" s="35"/>
    </row>
    <row r="76" spans="1:21" x14ac:dyDescent="0.25">
      <c r="A76" s="1" t="s">
        <v>146</v>
      </c>
      <c r="B76" s="4" t="s">
        <v>147</v>
      </c>
      <c r="C76" s="5">
        <f>832000000-894228</f>
        <v>831105772</v>
      </c>
      <c r="D76" s="10"/>
      <c r="E76" s="10"/>
      <c r="F76" s="38">
        <v>1537515</v>
      </c>
      <c r="G76" s="38">
        <v>1482212</v>
      </c>
      <c r="H76" s="38">
        <v>1450077</v>
      </c>
      <c r="I76" s="38">
        <v>1525802</v>
      </c>
      <c r="J76" s="38">
        <v>1692901</v>
      </c>
      <c r="K76" s="39">
        <v>1756295</v>
      </c>
      <c r="L76" s="39">
        <v>4138466</v>
      </c>
      <c r="M76" s="3">
        <v>1692901</v>
      </c>
      <c r="N76" s="3">
        <v>3095367</v>
      </c>
      <c r="O76" s="71">
        <v>5114358</v>
      </c>
      <c r="P76" s="71">
        <f>1514012+4495388</f>
        <v>6009400</v>
      </c>
      <c r="Q76" s="71">
        <v>26694518</v>
      </c>
      <c r="R76" s="38">
        <f t="shared" si="6"/>
        <v>56189812</v>
      </c>
      <c r="S76" s="63"/>
    </row>
    <row r="77" spans="1:21" x14ac:dyDescent="0.25">
      <c r="A77" s="1" t="s">
        <v>148</v>
      </c>
      <c r="B77" s="4" t="s">
        <v>149</v>
      </c>
      <c r="C77" s="5">
        <v>12000000</v>
      </c>
      <c r="D77" s="10"/>
      <c r="E77" s="10"/>
      <c r="F77" s="38">
        <v>0</v>
      </c>
      <c r="G77" s="38">
        <v>0</v>
      </c>
      <c r="H77" s="38">
        <v>0</v>
      </c>
      <c r="I77" s="38">
        <v>0</v>
      </c>
      <c r="J77" s="38"/>
      <c r="K77" s="39"/>
      <c r="L77" s="39"/>
      <c r="M77" s="3"/>
      <c r="N77" s="3"/>
      <c r="O77" s="3"/>
      <c r="P77" s="3"/>
      <c r="Q77" s="3"/>
      <c r="R77" s="38">
        <f t="shared" ref="R77:R78" si="7">F77+G77+H77+I77+J77+K77+L77+M77+N77+O77</f>
        <v>0</v>
      </c>
      <c r="S77" s="63"/>
    </row>
    <row r="78" spans="1:21" x14ac:dyDescent="0.25">
      <c r="A78" s="1" t="s">
        <v>150</v>
      </c>
      <c r="B78" s="4" t="s">
        <v>151</v>
      </c>
      <c r="C78" s="5">
        <v>1000000</v>
      </c>
      <c r="D78" s="10"/>
      <c r="E78" s="10"/>
      <c r="F78" s="38">
        <v>0</v>
      </c>
      <c r="G78" s="38">
        <v>0</v>
      </c>
      <c r="H78" s="38">
        <v>0</v>
      </c>
      <c r="I78" s="38">
        <v>0</v>
      </c>
      <c r="J78" s="38"/>
      <c r="K78" s="39"/>
      <c r="L78" s="39"/>
      <c r="M78" s="3"/>
      <c r="N78" s="3"/>
      <c r="O78" s="3"/>
      <c r="P78" s="3"/>
      <c r="Q78" s="3"/>
      <c r="R78" s="38">
        <f t="shared" si="7"/>
        <v>0</v>
      </c>
      <c r="S78" s="86"/>
    </row>
    <row r="79" spans="1:21" x14ac:dyDescent="0.25">
      <c r="A79" s="1" t="s">
        <v>152</v>
      </c>
      <c r="B79" s="2" t="s">
        <v>153</v>
      </c>
      <c r="C79" s="11">
        <v>10000000</v>
      </c>
      <c r="D79" s="10"/>
      <c r="E79" s="10"/>
      <c r="F79" s="38">
        <v>0</v>
      </c>
      <c r="G79" s="38">
        <v>0</v>
      </c>
      <c r="H79" s="38">
        <v>0</v>
      </c>
      <c r="I79" s="38">
        <v>0</v>
      </c>
      <c r="J79" s="38"/>
      <c r="K79" s="39"/>
      <c r="L79" s="39"/>
      <c r="M79" s="3"/>
      <c r="N79" s="3"/>
      <c r="O79" s="3"/>
      <c r="P79" s="3"/>
      <c r="Q79" s="3"/>
      <c r="R79" s="38">
        <f t="shared" ref="R79" si="8">F79+G79+H79+I79+J79+K79+L79+M79+N79</f>
        <v>0</v>
      </c>
      <c r="S79" s="86"/>
    </row>
    <row r="80" spans="1:21" x14ac:dyDescent="0.25">
      <c r="A80" s="8"/>
      <c r="B80" s="9" t="s">
        <v>154</v>
      </c>
      <c r="C80" s="12">
        <f>+C71+C79+C72+C77+C78</f>
        <v>4501105772</v>
      </c>
      <c r="D80" s="10"/>
      <c r="E80" s="10"/>
      <c r="F80" s="12">
        <f>+F71+F79+F72+F77+F78</f>
        <v>434833522</v>
      </c>
      <c r="G80" s="40">
        <f t="shared" ref="G80" si="9">+G71+G79+G72+G77+G78</f>
        <v>413925024</v>
      </c>
      <c r="H80" s="40">
        <f t="shared" ref="H80:R80" si="10">+H71+H79+H72+H77+H78</f>
        <v>403610339</v>
      </c>
      <c r="I80" s="40">
        <f t="shared" si="10"/>
        <v>440075411</v>
      </c>
      <c r="J80" s="40">
        <f t="shared" si="10"/>
        <v>385472056</v>
      </c>
      <c r="K80" s="40">
        <f t="shared" si="10"/>
        <v>350397620</v>
      </c>
      <c r="L80" s="40">
        <f t="shared" si="10"/>
        <v>398524087</v>
      </c>
      <c r="M80" s="40">
        <f t="shared" si="10"/>
        <v>349550723</v>
      </c>
      <c r="N80" s="40">
        <f t="shared" si="10"/>
        <v>330562031</v>
      </c>
      <c r="O80" s="40">
        <f t="shared" si="10"/>
        <v>353752908</v>
      </c>
      <c r="P80" s="40">
        <f t="shared" si="10"/>
        <v>313080438</v>
      </c>
      <c r="Q80" s="40">
        <f t="shared" si="10"/>
        <v>714707626</v>
      </c>
      <c r="R80" s="12">
        <f t="shared" si="10"/>
        <v>4888491785</v>
      </c>
      <c r="S80" s="86"/>
    </row>
    <row r="81" spans="1:20" ht="15.75" x14ac:dyDescent="0.25">
      <c r="A81" s="103" t="s">
        <v>156</v>
      </c>
      <c r="B81" s="104"/>
      <c r="C81" s="13">
        <f t="shared" ref="C81" si="11">+C69+C80</f>
        <v>18492887272</v>
      </c>
      <c r="D81" s="10"/>
      <c r="E81" s="10"/>
      <c r="F81" s="13">
        <f t="shared" ref="F81:R81" si="12">+F69+F80</f>
        <v>1357405071</v>
      </c>
      <c r="G81" s="41">
        <f t="shared" si="12"/>
        <v>1629647699</v>
      </c>
      <c r="H81" s="41">
        <f t="shared" si="12"/>
        <v>1434404819</v>
      </c>
      <c r="I81" s="41">
        <f t="shared" si="12"/>
        <v>1337551245</v>
      </c>
      <c r="J81" s="41">
        <f t="shared" si="12"/>
        <v>1145623984</v>
      </c>
      <c r="K81" s="41">
        <f t="shared" si="12"/>
        <v>1086744303</v>
      </c>
      <c r="L81" s="41">
        <f t="shared" si="12"/>
        <v>1233255006</v>
      </c>
      <c r="M81" s="41">
        <f t="shared" si="12"/>
        <v>1055933650</v>
      </c>
      <c r="N81" s="41">
        <f t="shared" si="12"/>
        <v>1047257127.6</v>
      </c>
      <c r="O81" s="41">
        <f t="shared" si="12"/>
        <v>1061628249</v>
      </c>
      <c r="P81" s="41">
        <f t="shared" si="12"/>
        <v>1147912140</v>
      </c>
      <c r="Q81" s="41">
        <f t="shared" si="12"/>
        <v>2450596653.5999999</v>
      </c>
      <c r="R81" s="13">
        <f t="shared" si="12"/>
        <v>15987959947.200001</v>
      </c>
      <c r="S81" s="86"/>
      <c r="T81" s="45"/>
    </row>
    <row r="82" spans="1:20" x14ac:dyDescent="0.25">
      <c r="C82" s="45"/>
      <c r="S82" s="86"/>
    </row>
    <row r="83" spans="1:20" x14ac:dyDescent="0.25">
      <c r="C83" s="45"/>
      <c r="F83" s="45"/>
      <c r="Q83" s="45"/>
      <c r="S83" s="58"/>
    </row>
  </sheetData>
  <mergeCells count="19">
    <mergeCell ref="L1:L2"/>
    <mergeCell ref="M1:M2"/>
    <mergeCell ref="N1:N2"/>
    <mergeCell ref="O1:O2"/>
    <mergeCell ref="R1:R2"/>
    <mergeCell ref="P1:P2"/>
    <mergeCell ref="Q1:Q2"/>
    <mergeCell ref="H1:H2"/>
    <mergeCell ref="I1:I2"/>
    <mergeCell ref="J1:J2"/>
    <mergeCell ref="K1:K2"/>
    <mergeCell ref="A81:B81"/>
    <mergeCell ref="D1:D2"/>
    <mergeCell ref="E1:E2"/>
    <mergeCell ref="G1:G2"/>
    <mergeCell ref="F1:F2"/>
    <mergeCell ref="A1:A2"/>
    <mergeCell ref="B1:B2"/>
    <mergeCell ref="C1:C2"/>
  </mergeCells>
  <pageMargins left="1.6929133858267718" right="0.70866141732283472" top="0.74803149606299213" bottom="0.74803149606299213" header="0.31496062992125984" footer="0.31496062992125984"/>
  <pageSetup paperSize="5" scale="90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1"/>
  <sheetViews>
    <sheetView tabSelected="1" topLeftCell="B1" zoomScaleNormal="100" workbookViewId="0">
      <pane xSplit="1" topLeftCell="S1" activePane="topRight" state="frozen"/>
      <selection activeCell="B1" sqref="B1"/>
      <selection pane="topRight" activeCell="U20" sqref="U20"/>
    </sheetView>
  </sheetViews>
  <sheetFormatPr baseColWidth="10" defaultRowHeight="15" x14ac:dyDescent="0.25"/>
  <cols>
    <col min="1" max="1" width="17.28515625" customWidth="1"/>
    <col min="2" max="2" width="71.28515625" customWidth="1"/>
    <col min="3" max="3" width="29.7109375" customWidth="1"/>
    <col min="4" max="5" width="20.7109375" customWidth="1"/>
    <col min="6" max="6" width="19.28515625" customWidth="1"/>
    <col min="7" max="7" width="22.7109375" bestFit="1" customWidth="1"/>
    <col min="8" max="9" width="27.42578125" hidden="1" customWidth="1"/>
    <col min="10" max="10" width="25" hidden="1" customWidth="1"/>
    <col min="11" max="12" width="27.42578125" hidden="1" customWidth="1"/>
    <col min="13" max="13" width="25" style="49" hidden="1" customWidth="1"/>
    <col min="14" max="14" width="25" style="52" hidden="1" customWidth="1"/>
    <col min="15" max="15" width="25" style="56" hidden="1" customWidth="1"/>
    <col min="16" max="16" width="28.140625" style="62" hidden="1" customWidth="1"/>
    <col min="17" max="17" width="23" style="66" hidden="1" customWidth="1"/>
    <col min="18" max="18" width="23" style="77" hidden="1" customWidth="1"/>
    <col min="19" max="19" width="26.5703125" style="80" bestFit="1" customWidth="1"/>
    <col min="20" max="20" width="24" customWidth="1"/>
    <col min="21" max="21" width="57" customWidth="1"/>
    <col min="22" max="22" width="30.28515625" customWidth="1"/>
    <col min="23" max="23" width="19" customWidth="1"/>
    <col min="24" max="24" width="78" customWidth="1"/>
    <col min="25" max="25" width="24.28515625" customWidth="1"/>
  </cols>
  <sheetData>
    <row r="1" spans="1:23" ht="15" customHeight="1" x14ac:dyDescent="0.25">
      <c r="A1" s="105" t="s">
        <v>160</v>
      </c>
      <c r="B1" s="105" t="s">
        <v>161</v>
      </c>
      <c r="C1" s="105" t="s">
        <v>333</v>
      </c>
      <c r="D1" s="111" t="s">
        <v>295</v>
      </c>
      <c r="E1" s="112"/>
      <c r="F1" s="105" t="s">
        <v>296</v>
      </c>
      <c r="G1" s="105" t="s">
        <v>332</v>
      </c>
      <c r="H1" s="114" t="s">
        <v>297</v>
      </c>
      <c r="I1" s="114" t="s">
        <v>300</v>
      </c>
      <c r="J1" s="114" t="s">
        <v>303</v>
      </c>
      <c r="K1" s="114" t="s">
        <v>304</v>
      </c>
      <c r="L1" s="114" t="s">
        <v>306</v>
      </c>
      <c r="M1" s="114" t="s">
        <v>308</v>
      </c>
      <c r="N1" s="114" t="s">
        <v>315</v>
      </c>
      <c r="O1" s="114" t="s">
        <v>319</v>
      </c>
      <c r="P1" s="114" t="s">
        <v>320</v>
      </c>
      <c r="Q1" s="114" t="s">
        <v>322</v>
      </c>
      <c r="R1" s="114" t="s">
        <v>326</v>
      </c>
      <c r="S1" s="114" t="s">
        <v>327</v>
      </c>
      <c r="T1" s="114" t="s">
        <v>328</v>
      </c>
    </row>
    <row r="2" spans="1:23" x14ac:dyDescent="0.25">
      <c r="A2" s="106"/>
      <c r="B2" s="106"/>
      <c r="C2" s="116"/>
      <c r="D2" s="33" t="s">
        <v>298</v>
      </c>
      <c r="E2" s="33" t="s">
        <v>299</v>
      </c>
      <c r="F2" s="113"/>
      <c r="G2" s="113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</row>
    <row r="3" spans="1:23" ht="18" x14ac:dyDescent="0.25">
      <c r="A3" s="14" t="s">
        <v>162</v>
      </c>
      <c r="B3" s="15" t="s">
        <v>163</v>
      </c>
      <c r="C3" s="10"/>
      <c r="D3" s="10"/>
      <c r="E3" s="10"/>
      <c r="F3" s="10"/>
      <c r="G3" s="10"/>
      <c r="H3" s="42"/>
    </row>
    <row r="4" spans="1:23" ht="15.75" x14ac:dyDescent="0.3">
      <c r="A4" s="16" t="s">
        <v>164</v>
      </c>
      <c r="B4" s="17" t="s">
        <v>165</v>
      </c>
      <c r="C4" s="18">
        <f>C5+C6+C7</f>
        <v>6362342874</v>
      </c>
      <c r="D4" s="18">
        <f>D5+D6+D7</f>
        <v>42000000</v>
      </c>
      <c r="E4" s="18">
        <f>E5+E6+E7</f>
        <v>66000000</v>
      </c>
      <c r="F4" s="37"/>
      <c r="G4" s="18">
        <f t="shared" ref="G4:T4" si="0">G5+G6+G7</f>
        <v>6338342874</v>
      </c>
      <c r="H4" s="18">
        <f t="shared" si="0"/>
        <v>434573304</v>
      </c>
      <c r="I4" s="18">
        <f t="shared" si="0"/>
        <v>440105922</v>
      </c>
      <c r="J4" s="18">
        <f t="shared" si="0"/>
        <v>434192870</v>
      </c>
      <c r="K4" s="18">
        <f t="shared" si="0"/>
        <v>650517937</v>
      </c>
      <c r="L4" s="18">
        <f t="shared" si="0"/>
        <v>482467376</v>
      </c>
      <c r="M4" s="18">
        <f t="shared" si="0"/>
        <v>480734313</v>
      </c>
      <c r="N4" s="18">
        <f t="shared" si="0"/>
        <v>704183080</v>
      </c>
      <c r="O4" s="18">
        <f t="shared" si="0"/>
        <v>482404393</v>
      </c>
      <c r="P4" s="18">
        <f t="shared" si="0"/>
        <v>494460244</v>
      </c>
      <c r="Q4" s="18">
        <f t="shared" si="0"/>
        <v>472847546</v>
      </c>
      <c r="R4" s="18">
        <f t="shared" si="0"/>
        <v>482044533</v>
      </c>
      <c r="S4" s="18">
        <f t="shared" si="0"/>
        <v>507289909</v>
      </c>
      <c r="T4" s="18">
        <f t="shared" si="0"/>
        <v>6065821427</v>
      </c>
      <c r="U4" s="47"/>
      <c r="W4" s="37"/>
    </row>
    <row r="5" spans="1:23" x14ac:dyDescent="0.25">
      <c r="A5" s="19" t="s">
        <v>166</v>
      </c>
      <c r="B5" s="97" t="s">
        <v>167</v>
      </c>
      <c r="C5" s="7">
        <v>5985642874</v>
      </c>
      <c r="D5" s="91">
        <v>17000000</v>
      </c>
      <c r="E5" s="91">
        <v>66000000</v>
      </c>
      <c r="F5" s="10"/>
      <c r="G5" s="7">
        <f>C5+D5-E5+F5</f>
        <v>5936642874</v>
      </c>
      <c r="H5" s="7">
        <v>417353048</v>
      </c>
      <c r="I5" s="7">
        <v>432035886</v>
      </c>
      <c r="J5" s="7">
        <v>418078017</v>
      </c>
      <c r="K5" s="7">
        <v>629011217</v>
      </c>
      <c r="L5" s="7">
        <v>472530037</v>
      </c>
      <c r="M5" s="7">
        <v>472638959</v>
      </c>
      <c r="N5" s="7">
        <v>468034970</v>
      </c>
      <c r="O5" s="7">
        <v>466157823</v>
      </c>
      <c r="P5" s="7">
        <v>485505340</v>
      </c>
      <c r="Q5" s="7">
        <v>462693912</v>
      </c>
      <c r="R5" s="7">
        <v>468572544</v>
      </c>
      <c r="S5" s="7">
        <v>475277019</v>
      </c>
      <c r="T5" s="37">
        <f>H5+I5+J5+K5+L5+M5+N5+O5+P5+Q5+R5+S5</f>
        <v>5667888772</v>
      </c>
      <c r="U5" s="47"/>
      <c r="V5" s="96"/>
    </row>
    <row r="6" spans="1:23" x14ac:dyDescent="0.25">
      <c r="A6" s="21" t="s">
        <v>168</v>
      </c>
      <c r="B6" s="97" t="s">
        <v>169</v>
      </c>
      <c r="C6" s="7">
        <v>230000000</v>
      </c>
      <c r="D6" s="92"/>
      <c r="E6" s="92"/>
      <c r="F6" s="10"/>
      <c r="G6" s="7">
        <f t="shared" ref="G6:G61" si="1">C6+D6-E6+F6</f>
        <v>230000000</v>
      </c>
      <c r="H6" s="7"/>
      <c r="I6" s="7">
        <v>701171</v>
      </c>
      <c r="J6" s="7"/>
      <c r="K6" s="7"/>
      <c r="L6" s="7"/>
      <c r="M6" s="7">
        <v>0</v>
      </c>
      <c r="N6" s="7">
        <v>226569486</v>
      </c>
      <c r="O6" s="7"/>
      <c r="P6" s="7"/>
      <c r="Q6" s="7"/>
      <c r="R6" s="7"/>
      <c r="S6" s="7"/>
      <c r="T6" s="37">
        <f>H6+I6+J6+K6+L6+M6+N6+O6+P6+Q6+R6+S6</f>
        <v>227270657</v>
      </c>
      <c r="U6" s="47"/>
      <c r="V6" s="96"/>
    </row>
    <row r="7" spans="1:23" x14ac:dyDescent="0.25">
      <c r="A7" s="19" t="s">
        <v>170</v>
      </c>
      <c r="B7" s="97" t="s">
        <v>171</v>
      </c>
      <c r="C7" s="7">
        <v>146700000</v>
      </c>
      <c r="D7" s="91">
        <v>25000000</v>
      </c>
      <c r="E7" s="92"/>
      <c r="F7" s="10"/>
      <c r="G7" s="7">
        <f t="shared" si="1"/>
        <v>171700000</v>
      </c>
      <c r="H7" s="7">
        <v>17220256</v>
      </c>
      <c r="I7" s="7">
        <v>7368865</v>
      </c>
      <c r="J7" s="7">
        <v>16114853</v>
      </c>
      <c r="K7" s="7">
        <v>21506720</v>
      </c>
      <c r="L7" s="7">
        <v>9937339</v>
      </c>
      <c r="M7" s="7">
        <v>8095354</v>
      </c>
      <c r="N7" s="7">
        <v>9578624</v>
      </c>
      <c r="O7" s="7">
        <v>16246570</v>
      </c>
      <c r="P7" s="7">
        <v>8954904</v>
      </c>
      <c r="Q7" s="7">
        <v>10153634</v>
      </c>
      <c r="R7" s="7">
        <v>13471989</v>
      </c>
      <c r="S7" s="7">
        <v>32012890</v>
      </c>
      <c r="T7" s="37">
        <f>H7+I7+J7+K7+L7+M7+N7+O7+P7+Q7+R7+S7</f>
        <v>170661998</v>
      </c>
      <c r="U7" s="90"/>
    </row>
    <row r="8" spans="1:23" ht="15.75" x14ac:dyDescent="0.3">
      <c r="A8" s="16" t="s">
        <v>172</v>
      </c>
      <c r="B8" s="17" t="s">
        <v>173</v>
      </c>
      <c r="C8" s="18">
        <f>C9+C10+C11+C12+C13+C14+C15+C16</f>
        <v>1755900000</v>
      </c>
      <c r="D8" s="93">
        <f>D9+D10+D11+D12+D13+D14+D15+D16</f>
        <v>33000000</v>
      </c>
      <c r="E8" s="93">
        <f>E9+E10+E11+E12+E13+E14+E15+E16</f>
        <v>0</v>
      </c>
      <c r="F8" s="37"/>
      <c r="G8" s="18">
        <f t="shared" ref="G8:T8" si="2">G9+G10+G11+G12+G13+G14+G15+G16</f>
        <v>1788900000</v>
      </c>
      <c r="H8" s="18">
        <f t="shared" si="2"/>
        <v>54827505</v>
      </c>
      <c r="I8" s="18">
        <f t="shared" si="2"/>
        <v>96457262</v>
      </c>
      <c r="J8" s="18">
        <f t="shared" si="2"/>
        <v>97467850</v>
      </c>
      <c r="K8" s="18">
        <f t="shared" si="2"/>
        <v>107386018</v>
      </c>
      <c r="L8" s="18">
        <f t="shared" si="2"/>
        <v>87095546</v>
      </c>
      <c r="M8" s="18">
        <f t="shared" si="2"/>
        <v>88829524</v>
      </c>
      <c r="N8" s="18">
        <f t="shared" si="2"/>
        <v>64440378</v>
      </c>
      <c r="O8" s="18">
        <f t="shared" si="2"/>
        <v>95875293</v>
      </c>
      <c r="P8" s="18">
        <f t="shared" si="2"/>
        <v>83399921</v>
      </c>
      <c r="Q8" s="18">
        <f t="shared" si="2"/>
        <v>79109513</v>
      </c>
      <c r="R8" s="18">
        <f t="shared" si="2"/>
        <v>90078060</v>
      </c>
      <c r="S8" s="18">
        <f t="shared" si="2"/>
        <v>625815436</v>
      </c>
      <c r="T8" s="18">
        <f t="shared" si="2"/>
        <v>1570782306</v>
      </c>
      <c r="U8" s="90"/>
    </row>
    <row r="9" spans="1:23" x14ac:dyDescent="0.25">
      <c r="A9" s="19" t="s">
        <v>174</v>
      </c>
      <c r="B9" s="97" t="s">
        <v>175</v>
      </c>
      <c r="C9" s="7">
        <v>485000000</v>
      </c>
      <c r="D9" s="91">
        <f>3000000+30000000</f>
        <v>33000000</v>
      </c>
      <c r="E9" s="92"/>
      <c r="F9" s="37"/>
      <c r="G9" s="7">
        <f t="shared" si="1"/>
        <v>518000000</v>
      </c>
      <c r="H9" s="7"/>
      <c r="I9" s="7"/>
      <c r="J9" s="7"/>
      <c r="K9" s="7"/>
      <c r="L9" s="7"/>
      <c r="M9" s="7">
        <v>0</v>
      </c>
      <c r="N9" s="7"/>
      <c r="O9" s="7"/>
      <c r="P9" s="7">
        <v>1795363</v>
      </c>
      <c r="Q9" s="7">
        <v>5311182</v>
      </c>
      <c r="R9" s="7"/>
      <c r="S9" s="7">
        <v>504524334</v>
      </c>
      <c r="T9" s="37">
        <f t="shared" ref="T9:T16" si="3">H9+I9+J9+K9+L9+M9+N9+O9+P9+Q9+R9+S9</f>
        <v>511630879</v>
      </c>
      <c r="U9" s="90"/>
    </row>
    <row r="10" spans="1:23" x14ac:dyDescent="0.25">
      <c r="A10" s="19" t="s">
        <v>176</v>
      </c>
      <c r="B10" s="97" t="s">
        <v>177</v>
      </c>
      <c r="C10" s="7">
        <v>288000000</v>
      </c>
      <c r="D10" s="92"/>
      <c r="E10" s="92"/>
      <c r="F10" s="37"/>
      <c r="G10" s="7">
        <f t="shared" si="1"/>
        <v>288000000</v>
      </c>
      <c r="H10" s="7">
        <v>681300</v>
      </c>
      <c r="I10" s="7">
        <v>46904930</v>
      </c>
      <c r="J10" s="7">
        <v>16818345</v>
      </c>
      <c r="K10" s="7">
        <v>30802212</v>
      </c>
      <c r="L10" s="7">
        <v>13014020</v>
      </c>
      <c r="M10" s="7">
        <v>11535216</v>
      </c>
      <c r="N10" s="7"/>
      <c r="O10" s="7">
        <v>24806602</v>
      </c>
      <c r="P10" s="7">
        <v>25238484</v>
      </c>
      <c r="Q10" s="7">
        <v>16261695</v>
      </c>
      <c r="R10" s="7">
        <v>22026442</v>
      </c>
      <c r="S10" s="7">
        <v>41971433</v>
      </c>
      <c r="T10" s="37">
        <f t="shared" si="3"/>
        <v>250060679</v>
      </c>
      <c r="U10" s="90"/>
      <c r="V10" s="96"/>
    </row>
    <row r="11" spans="1:23" x14ac:dyDescent="0.25">
      <c r="A11" s="19" t="s">
        <v>178</v>
      </c>
      <c r="B11" s="97" t="s">
        <v>179</v>
      </c>
      <c r="C11" s="7">
        <v>13500000</v>
      </c>
      <c r="D11" s="92"/>
      <c r="E11" s="92"/>
      <c r="F11" s="10"/>
      <c r="G11" s="7">
        <f t="shared" si="1"/>
        <v>13500000</v>
      </c>
      <c r="H11" s="7"/>
      <c r="I11" s="7">
        <v>4087800</v>
      </c>
      <c r="J11" s="7"/>
      <c r="K11" s="7"/>
      <c r="L11" s="7"/>
      <c r="M11" s="7">
        <v>0</v>
      </c>
      <c r="N11" s="7"/>
      <c r="O11" s="7"/>
      <c r="P11" s="7"/>
      <c r="Q11" s="7"/>
      <c r="R11" s="7"/>
      <c r="S11" s="7"/>
      <c r="T11" s="37">
        <f t="shared" si="3"/>
        <v>4087800</v>
      </c>
      <c r="U11" s="90"/>
      <c r="V11" s="96"/>
    </row>
    <row r="12" spans="1:23" x14ac:dyDescent="0.25">
      <c r="A12" s="19" t="s">
        <v>180</v>
      </c>
      <c r="B12" s="97" t="s">
        <v>181</v>
      </c>
      <c r="C12" s="7">
        <v>2200000</v>
      </c>
      <c r="D12" s="92"/>
      <c r="E12" s="92"/>
      <c r="F12" s="10"/>
      <c r="G12" s="7">
        <f>C12+D12-E12+F12</f>
        <v>2200000</v>
      </c>
      <c r="H12" s="7">
        <v>166770</v>
      </c>
      <c r="I12" s="7">
        <v>166770</v>
      </c>
      <c r="J12" s="7">
        <v>184916</v>
      </c>
      <c r="K12" s="7">
        <v>221208</v>
      </c>
      <c r="L12" s="7">
        <v>184916</v>
      </c>
      <c r="M12" s="7">
        <v>117113</v>
      </c>
      <c r="N12" s="7">
        <v>120195</v>
      </c>
      <c r="O12" s="7">
        <v>184916</v>
      </c>
      <c r="P12" s="7">
        <v>184916</v>
      </c>
      <c r="Q12" s="7">
        <v>184916</v>
      </c>
      <c r="R12" s="7">
        <v>184916</v>
      </c>
      <c r="S12" s="7">
        <v>184916</v>
      </c>
      <c r="T12" s="37">
        <f t="shared" si="3"/>
        <v>2086468</v>
      </c>
      <c r="U12" s="90"/>
    </row>
    <row r="13" spans="1:23" x14ac:dyDescent="0.25">
      <c r="A13" s="19" t="s">
        <v>182</v>
      </c>
      <c r="B13" s="97" t="s">
        <v>183</v>
      </c>
      <c r="C13" s="7">
        <v>38000000</v>
      </c>
      <c r="D13" s="92"/>
      <c r="E13" s="92"/>
      <c r="F13" s="10"/>
      <c r="G13" s="7">
        <f>C13+D13-E13+F13</f>
        <v>38000000</v>
      </c>
      <c r="H13" s="7"/>
      <c r="I13" s="7">
        <v>5164420</v>
      </c>
      <c r="J13" s="7">
        <v>2091779</v>
      </c>
      <c r="K13" s="7">
        <v>3711216</v>
      </c>
      <c r="L13" s="7">
        <v>1645209</v>
      </c>
      <c r="M13" s="7">
        <v>1428546</v>
      </c>
      <c r="N13" s="7"/>
      <c r="O13" s="7">
        <v>3094586</v>
      </c>
      <c r="P13" s="7">
        <v>3094586</v>
      </c>
      <c r="Q13" s="7">
        <v>1862558</v>
      </c>
      <c r="R13" s="7">
        <v>2773236</v>
      </c>
      <c r="S13" s="7">
        <v>5260230</v>
      </c>
      <c r="T13" s="37">
        <f t="shared" si="3"/>
        <v>30126366</v>
      </c>
      <c r="U13" s="90"/>
      <c r="V13" s="96"/>
    </row>
    <row r="14" spans="1:23" x14ac:dyDescent="0.25">
      <c r="A14" s="19" t="s">
        <v>184</v>
      </c>
      <c r="B14" s="97" t="s">
        <v>185</v>
      </c>
      <c r="C14" s="7">
        <v>4200000</v>
      </c>
      <c r="D14" s="92"/>
      <c r="E14" s="92"/>
      <c r="F14" s="10"/>
      <c r="G14" s="7">
        <f t="shared" si="1"/>
        <v>4200000</v>
      </c>
      <c r="H14" s="7">
        <v>324000</v>
      </c>
      <c r="I14" s="7">
        <v>324000</v>
      </c>
      <c r="J14" s="7">
        <v>324000</v>
      </c>
      <c r="K14" s="7">
        <v>324000</v>
      </c>
      <c r="L14" s="7">
        <v>324000</v>
      </c>
      <c r="M14" s="7">
        <v>205200</v>
      </c>
      <c r="N14" s="7">
        <v>210600</v>
      </c>
      <c r="O14" s="7">
        <v>324000</v>
      </c>
      <c r="P14" s="7">
        <v>324000</v>
      </c>
      <c r="Q14" s="7">
        <v>324000</v>
      </c>
      <c r="R14" s="7">
        <v>324000</v>
      </c>
      <c r="S14" s="7">
        <v>324000</v>
      </c>
      <c r="T14" s="37">
        <f t="shared" si="3"/>
        <v>3655800</v>
      </c>
      <c r="U14" s="90"/>
      <c r="V14" s="96"/>
    </row>
    <row r="15" spans="1:23" x14ac:dyDescent="0.25">
      <c r="A15" s="21" t="s">
        <v>186</v>
      </c>
      <c r="B15" s="97" t="s">
        <v>187</v>
      </c>
      <c r="C15" s="7">
        <v>35000000</v>
      </c>
      <c r="D15" s="10"/>
      <c r="E15" s="10"/>
      <c r="F15" s="10"/>
      <c r="G15" s="7">
        <f t="shared" si="1"/>
        <v>35000000</v>
      </c>
      <c r="H15" s="7"/>
      <c r="I15" s="7"/>
      <c r="J15" s="7"/>
      <c r="K15" s="7"/>
      <c r="L15" s="7"/>
      <c r="M15" s="7">
        <v>0</v>
      </c>
      <c r="N15" s="7"/>
      <c r="O15" s="7"/>
      <c r="P15" s="7"/>
      <c r="Q15" s="7"/>
      <c r="R15" s="7"/>
      <c r="S15" s="7"/>
      <c r="T15" s="37">
        <f t="shared" si="3"/>
        <v>0</v>
      </c>
    </row>
    <row r="16" spans="1:23" x14ac:dyDescent="0.25">
      <c r="A16" s="21" t="s">
        <v>188</v>
      </c>
      <c r="B16" s="97" t="s">
        <v>189</v>
      </c>
      <c r="C16" s="7">
        <v>890000000</v>
      </c>
      <c r="D16" s="10"/>
      <c r="E16" s="10"/>
      <c r="F16" s="10"/>
      <c r="G16" s="7">
        <f t="shared" si="1"/>
        <v>890000000</v>
      </c>
      <c r="H16" s="7">
        <v>53655435</v>
      </c>
      <c r="I16" s="7">
        <v>39809342</v>
      </c>
      <c r="J16" s="7">
        <v>78048810</v>
      </c>
      <c r="K16" s="7">
        <v>72327382</v>
      </c>
      <c r="L16" s="7">
        <v>71927401</v>
      </c>
      <c r="M16" s="7">
        <v>75543449</v>
      </c>
      <c r="N16" s="7">
        <v>64109583</v>
      </c>
      <c r="O16" s="7">
        <v>67465189</v>
      </c>
      <c r="P16" s="7">
        <v>52762572</v>
      </c>
      <c r="Q16" s="7">
        <v>55165162</v>
      </c>
      <c r="R16" s="7">
        <v>64769466</v>
      </c>
      <c r="S16" s="7">
        <v>73550523</v>
      </c>
      <c r="T16" s="37">
        <f t="shared" si="3"/>
        <v>769134314</v>
      </c>
    </row>
    <row r="17" spans="1:20" ht="15.75" x14ac:dyDescent="0.3">
      <c r="A17" s="17" t="s">
        <v>190</v>
      </c>
      <c r="B17" s="17" t="s">
        <v>191</v>
      </c>
      <c r="C17" s="22">
        <f>SUM(C18:C20)</f>
        <v>351000000</v>
      </c>
      <c r="D17" s="22">
        <f t="shared" ref="D17:E17" si="4">SUM(D18:D20)</f>
        <v>393800000</v>
      </c>
      <c r="E17" s="22">
        <f t="shared" si="4"/>
        <v>30000000</v>
      </c>
      <c r="F17" s="10"/>
      <c r="G17" s="22">
        <f t="shared" si="1"/>
        <v>714800000</v>
      </c>
      <c r="H17" s="22">
        <f t="shared" ref="H17:T17" si="5">SUM(H18:H20)</f>
        <v>160217464</v>
      </c>
      <c r="I17" s="22">
        <f t="shared" si="5"/>
        <v>149400000</v>
      </c>
      <c r="J17" s="22">
        <f t="shared" si="5"/>
        <v>15950000</v>
      </c>
      <c r="K17" s="22">
        <f t="shared" si="5"/>
        <v>54650000</v>
      </c>
      <c r="L17" s="22">
        <f t="shared" si="5"/>
        <v>172268950</v>
      </c>
      <c r="M17" s="22">
        <f t="shared" si="5"/>
        <v>56201000</v>
      </c>
      <c r="N17" s="22">
        <f t="shared" si="5"/>
        <v>25000000</v>
      </c>
      <c r="O17" s="22">
        <f t="shared" si="5"/>
        <v>0</v>
      </c>
      <c r="P17" s="22">
        <f t="shared" si="5"/>
        <v>0</v>
      </c>
      <c r="Q17" s="22">
        <f t="shared" si="5"/>
        <v>8000000</v>
      </c>
      <c r="R17" s="22">
        <f t="shared" si="5"/>
        <v>13968431</v>
      </c>
      <c r="S17" s="22">
        <f t="shared" si="5"/>
        <v>6345362</v>
      </c>
      <c r="T17" s="22">
        <f t="shared" si="5"/>
        <v>662001207</v>
      </c>
    </row>
    <row r="18" spans="1:20" x14ac:dyDescent="0.25">
      <c r="A18" s="23" t="s">
        <v>192</v>
      </c>
      <c r="B18" s="97" t="s">
        <v>193</v>
      </c>
      <c r="C18" s="7">
        <v>250000000</v>
      </c>
      <c r="D18" s="91">
        <f>110000000+218800000+23000000+23000000+1000000</f>
        <v>375800000</v>
      </c>
      <c r="E18" s="92"/>
      <c r="F18" s="10"/>
      <c r="G18" s="7">
        <f t="shared" si="1"/>
        <v>625800000</v>
      </c>
      <c r="H18" s="7">
        <v>134400000</v>
      </c>
      <c r="I18" s="7">
        <v>149400000</v>
      </c>
      <c r="J18" s="7">
        <v>15950000</v>
      </c>
      <c r="K18" s="7">
        <v>54650000</v>
      </c>
      <c r="L18" s="7">
        <v>169800000</v>
      </c>
      <c r="M18" s="7">
        <v>37000000</v>
      </c>
      <c r="N18" s="7">
        <v>25000000</v>
      </c>
      <c r="O18" s="7"/>
      <c r="P18" s="7"/>
      <c r="Q18" s="7">
        <v>8000000</v>
      </c>
      <c r="R18" s="7">
        <v>10800000</v>
      </c>
      <c r="S18" s="7">
        <v>5566667</v>
      </c>
      <c r="T18" s="37">
        <f>H18+I18+J18+K18+L18+M18+N18+O18+P18+Q18+R18+S18</f>
        <v>610566667</v>
      </c>
    </row>
    <row r="19" spans="1:20" x14ac:dyDescent="0.25">
      <c r="A19" s="19" t="s">
        <v>194</v>
      </c>
      <c r="B19" s="97" t="s">
        <v>195</v>
      </c>
      <c r="C19" s="7">
        <v>100000000</v>
      </c>
      <c r="D19" s="91">
        <f>8000000+10000000</f>
        <v>18000000</v>
      </c>
      <c r="E19" s="91">
        <v>30000000</v>
      </c>
      <c r="F19" s="10"/>
      <c r="G19" s="7">
        <f t="shared" si="1"/>
        <v>88000000</v>
      </c>
      <c r="H19" s="7">
        <v>25817464</v>
      </c>
      <c r="I19" s="7"/>
      <c r="J19" s="7"/>
      <c r="K19" s="7"/>
      <c r="L19" s="7">
        <v>2468950</v>
      </c>
      <c r="M19" s="7">
        <v>19201000</v>
      </c>
      <c r="N19" s="7"/>
      <c r="O19" s="7"/>
      <c r="P19" s="7"/>
      <c r="Q19" s="7"/>
      <c r="R19" s="7">
        <v>3168431</v>
      </c>
      <c r="S19" s="7">
        <v>778695</v>
      </c>
      <c r="T19" s="37">
        <f>H19+I19+J19+K19+L19+M19+N19+O19+P19+Q19+R19+S19</f>
        <v>51434540</v>
      </c>
    </row>
    <row r="20" spans="1:20" x14ac:dyDescent="0.25">
      <c r="A20" s="21" t="s">
        <v>196</v>
      </c>
      <c r="B20" s="97" t="s">
        <v>197</v>
      </c>
      <c r="C20" s="7">
        <v>1000000</v>
      </c>
      <c r="D20" s="92"/>
      <c r="E20" s="92"/>
      <c r="F20" s="10"/>
      <c r="G20" s="7">
        <f t="shared" si="1"/>
        <v>1000000</v>
      </c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37">
        <f>H20+I20+J20+K20+L20+M20+N20+O20+P20+Q20+R20+S20</f>
        <v>0</v>
      </c>
    </row>
    <row r="21" spans="1:20" ht="15.75" x14ac:dyDescent="0.3">
      <c r="A21" s="17" t="s">
        <v>198</v>
      </c>
      <c r="B21" s="17" t="s">
        <v>199</v>
      </c>
      <c r="C21" s="22">
        <f>C22+C23+C24+C25+C26+C27+C28+C29</f>
        <v>2448144398</v>
      </c>
      <c r="D21" s="94">
        <f t="shared" ref="D21:E21" si="6">D22+D23+D24+D25+D26+D27+D28+D29</f>
        <v>0</v>
      </c>
      <c r="E21" s="94">
        <f t="shared" si="6"/>
        <v>0</v>
      </c>
      <c r="F21" s="10"/>
      <c r="G21" s="22">
        <f t="shared" ref="G21:T21" si="7">G22+G23+G24+G25+G26+G27+G28+G29</f>
        <v>2448144398</v>
      </c>
      <c r="H21" s="22">
        <f t="shared" si="7"/>
        <v>180759538</v>
      </c>
      <c r="I21" s="22">
        <f t="shared" si="7"/>
        <v>160883478</v>
      </c>
      <c r="J21" s="22">
        <f t="shared" si="7"/>
        <v>155115378</v>
      </c>
      <c r="K21" s="22">
        <f t="shared" si="7"/>
        <v>183299032</v>
      </c>
      <c r="L21" s="22">
        <f t="shared" si="7"/>
        <v>241155248</v>
      </c>
      <c r="M21" s="22">
        <f t="shared" si="7"/>
        <v>185181026</v>
      </c>
      <c r="N21" s="22">
        <f t="shared" si="7"/>
        <v>146270506</v>
      </c>
      <c r="O21" s="22">
        <f t="shared" si="7"/>
        <v>183928000</v>
      </c>
      <c r="P21" s="22">
        <f t="shared" si="7"/>
        <v>189527800</v>
      </c>
      <c r="Q21" s="22">
        <f t="shared" si="7"/>
        <v>167990888</v>
      </c>
      <c r="R21" s="22">
        <f t="shared" si="7"/>
        <v>176882800</v>
      </c>
      <c r="S21" s="22">
        <f t="shared" si="7"/>
        <v>145253884</v>
      </c>
      <c r="T21" s="22">
        <f t="shared" si="7"/>
        <v>2116247578</v>
      </c>
    </row>
    <row r="22" spans="1:20" x14ac:dyDescent="0.25">
      <c r="A22" s="24" t="s">
        <v>200</v>
      </c>
      <c r="B22" s="98" t="s">
        <v>201</v>
      </c>
      <c r="C22" s="7">
        <v>934000000</v>
      </c>
      <c r="D22" s="92"/>
      <c r="E22" s="92"/>
      <c r="F22" s="10"/>
      <c r="G22" s="7">
        <f t="shared" si="1"/>
        <v>934000000</v>
      </c>
      <c r="H22" s="7">
        <v>70032669</v>
      </c>
      <c r="I22" s="7">
        <v>61777039</v>
      </c>
      <c r="J22" s="7">
        <v>58295139</v>
      </c>
      <c r="K22" s="7">
        <v>70274866</v>
      </c>
      <c r="L22" s="7">
        <v>93968689</v>
      </c>
      <c r="M22" s="7">
        <v>71247363</v>
      </c>
      <c r="N22" s="7">
        <v>73366503</v>
      </c>
      <c r="O22" s="7">
        <v>70806300</v>
      </c>
      <c r="P22" s="7">
        <v>72684800</v>
      </c>
      <c r="Q22" s="7">
        <v>70176194</v>
      </c>
      <c r="R22" s="7">
        <v>66671600</v>
      </c>
      <c r="S22" s="7">
        <v>41124382</v>
      </c>
      <c r="T22" s="37">
        <f t="shared" ref="T22:T29" si="8">H22+I22+J22+K22+L22+M22+N22+O22+P22+Q22+R22+S22</f>
        <v>820425544</v>
      </c>
    </row>
    <row r="23" spans="1:20" x14ac:dyDescent="0.25">
      <c r="A23" s="24" t="s">
        <v>202</v>
      </c>
      <c r="B23" s="99" t="s">
        <v>203</v>
      </c>
      <c r="C23" s="7">
        <v>684000000</v>
      </c>
      <c r="D23" s="92"/>
      <c r="E23" s="92"/>
      <c r="F23" s="10"/>
      <c r="G23" s="7">
        <f t="shared" si="1"/>
        <v>684000000</v>
      </c>
      <c r="H23" s="7">
        <v>46771269</v>
      </c>
      <c r="I23" s="7">
        <v>42730039</v>
      </c>
      <c r="J23" s="7">
        <v>40542139</v>
      </c>
      <c r="K23" s="7">
        <v>47069766</v>
      </c>
      <c r="L23" s="7">
        <v>61156559</v>
      </c>
      <c r="M23" s="7">
        <v>47697863</v>
      </c>
      <c r="N23" s="7">
        <v>28996003</v>
      </c>
      <c r="O23" s="7">
        <v>47814200</v>
      </c>
      <c r="P23" s="7">
        <v>49037700</v>
      </c>
      <c r="Q23" s="7">
        <v>40684694</v>
      </c>
      <c r="R23" s="7">
        <v>44783800</v>
      </c>
      <c r="S23" s="7">
        <v>37643082</v>
      </c>
      <c r="T23" s="37">
        <f t="shared" si="8"/>
        <v>534927114</v>
      </c>
    </row>
    <row r="24" spans="1:20" x14ac:dyDescent="0.25">
      <c r="A24" s="25" t="s">
        <v>204</v>
      </c>
      <c r="B24" s="99" t="s">
        <v>205</v>
      </c>
      <c r="C24" s="7">
        <v>198546000</v>
      </c>
      <c r="D24" s="92"/>
      <c r="E24" s="92"/>
      <c r="F24" s="10"/>
      <c r="G24" s="7">
        <f t="shared" si="1"/>
        <v>198546000</v>
      </c>
      <c r="H24" s="7">
        <v>13811000</v>
      </c>
      <c r="I24" s="7">
        <v>13492900</v>
      </c>
      <c r="J24" s="7">
        <v>12235900</v>
      </c>
      <c r="K24" s="7">
        <v>15118500</v>
      </c>
      <c r="L24" s="7">
        <v>19341100</v>
      </c>
      <c r="M24" s="7">
        <v>15149700</v>
      </c>
      <c r="N24" s="7">
        <v>5470400</v>
      </c>
      <c r="O24" s="7">
        <v>14895200</v>
      </c>
      <c r="P24" s="7">
        <v>16132100</v>
      </c>
      <c r="Q24" s="7">
        <v>10511200</v>
      </c>
      <c r="R24" s="7">
        <v>16310000</v>
      </c>
      <c r="S24" s="7">
        <v>16681200</v>
      </c>
      <c r="T24" s="37">
        <f t="shared" si="8"/>
        <v>169149200</v>
      </c>
    </row>
    <row r="25" spans="1:20" x14ac:dyDescent="0.25">
      <c r="A25" s="21" t="s">
        <v>206</v>
      </c>
      <c r="B25" s="99" t="s">
        <v>207</v>
      </c>
      <c r="C25" s="7">
        <v>286542398</v>
      </c>
      <c r="D25" s="92"/>
      <c r="E25" s="92"/>
      <c r="F25" s="10"/>
      <c r="G25" s="7">
        <f t="shared" si="1"/>
        <v>286542398</v>
      </c>
      <c r="H25" s="7">
        <v>22284200</v>
      </c>
      <c r="I25" s="7">
        <v>19057500</v>
      </c>
      <c r="J25" s="7">
        <v>19571800</v>
      </c>
      <c r="K25" s="7">
        <v>22591200</v>
      </c>
      <c r="L25" s="7">
        <v>29635900</v>
      </c>
      <c r="M25" s="7">
        <v>22702400</v>
      </c>
      <c r="N25" s="7">
        <v>15858500</v>
      </c>
      <c r="O25" s="7">
        <v>22403200</v>
      </c>
      <c r="P25" s="7">
        <v>22963300</v>
      </c>
      <c r="Q25" s="7">
        <v>22049900</v>
      </c>
      <c r="R25" s="7">
        <v>21827700</v>
      </c>
      <c r="S25" s="7">
        <v>23287700</v>
      </c>
      <c r="T25" s="37">
        <f t="shared" si="8"/>
        <v>264233300</v>
      </c>
    </row>
    <row r="26" spans="1:20" x14ac:dyDescent="0.25">
      <c r="A26" s="21" t="s">
        <v>208</v>
      </c>
      <c r="B26" s="99" t="s">
        <v>209</v>
      </c>
      <c r="C26" s="7">
        <v>199056000</v>
      </c>
      <c r="D26" s="92"/>
      <c r="E26" s="92"/>
      <c r="F26" s="10"/>
      <c r="G26" s="7">
        <f t="shared" si="1"/>
        <v>199056000</v>
      </c>
      <c r="H26" s="7">
        <v>16714800</v>
      </c>
      <c r="I26" s="7">
        <v>14294500</v>
      </c>
      <c r="J26" s="7">
        <v>14681100</v>
      </c>
      <c r="K26" s="7">
        <v>16945900</v>
      </c>
      <c r="L26" s="7">
        <v>22230100</v>
      </c>
      <c r="M26" s="7">
        <v>17029100</v>
      </c>
      <c r="N26" s="7">
        <v>17146300</v>
      </c>
      <c r="O26" s="7">
        <v>16804200</v>
      </c>
      <c r="P26" s="7">
        <v>17225100</v>
      </c>
      <c r="Q26" s="7">
        <v>14540200</v>
      </c>
      <c r="R26" s="7">
        <v>16372800</v>
      </c>
      <c r="S26" s="7">
        <v>15050120</v>
      </c>
      <c r="T26" s="37">
        <f t="shared" si="8"/>
        <v>199034220</v>
      </c>
    </row>
    <row r="27" spans="1:20" x14ac:dyDescent="0.25">
      <c r="A27" s="21" t="s">
        <v>210</v>
      </c>
      <c r="B27" s="99" t="s">
        <v>211</v>
      </c>
      <c r="C27" s="7">
        <v>69000000</v>
      </c>
      <c r="D27" s="92"/>
      <c r="E27" s="92"/>
      <c r="F27" s="10"/>
      <c r="G27" s="7">
        <f t="shared" si="1"/>
        <v>69000000</v>
      </c>
      <c r="H27" s="7">
        <v>5572800</v>
      </c>
      <c r="I27" s="7">
        <v>4765750</v>
      </c>
      <c r="J27" s="7">
        <v>4894650</v>
      </c>
      <c r="K27" s="7">
        <v>5649400</v>
      </c>
      <c r="L27" s="7">
        <v>7412950</v>
      </c>
      <c r="M27" s="7">
        <v>5677300</v>
      </c>
      <c r="N27" s="7">
        <v>2716400</v>
      </c>
      <c r="O27" s="7">
        <v>5602450</v>
      </c>
      <c r="P27" s="7">
        <v>5742400</v>
      </c>
      <c r="Q27" s="7">
        <v>5014350</v>
      </c>
      <c r="R27" s="7">
        <v>5458450</v>
      </c>
      <c r="S27" s="7">
        <v>5733700</v>
      </c>
      <c r="T27" s="37">
        <f t="shared" si="8"/>
        <v>64240600</v>
      </c>
    </row>
    <row r="28" spans="1:20" x14ac:dyDescent="0.25">
      <c r="A28" s="21" t="s">
        <v>212</v>
      </c>
      <c r="B28" s="99" t="s">
        <v>213</v>
      </c>
      <c r="C28" s="7">
        <v>38500000</v>
      </c>
      <c r="D28" s="92"/>
      <c r="E28" s="92"/>
      <c r="F28" s="10"/>
      <c r="G28" s="7">
        <f t="shared" si="1"/>
        <v>38500000</v>
      </c>
      <c r="H28" s="7">
        <v>2786400</v>
      </c>
      <c r="I28" s="7">
        <v>2382875</v>
      </c>
      <c r="J28" s="7">
        <v>2447325</v>
      </c>
      <c r="K28" s="7">
        <v>2824700</v>
      </c>
      <c r="L28" s="7">
        <v>3704975</v>
      </c>
      <c r="M28" s="7">
        <v>2838650</v>
      </c>
      <c r="N28" s="7">
        <v>1358200</v>
      </c>
      <c r="O28" s="7">
        <v>2801225</v>
      </c>
      <c r="P28" s="7">
        <v>2871200</v>
      </c>
      <c r="Q28" s="7">
        <v>2507175</v>
      </c>
      <c r="R28" s="7">
        <v>2729225</v>
      </c>
      <c r="S28" s="7">
        <v>2866850</v>
      </c>
      <c r="T28" s="37">
        <f t="shared" si="8"/>
        <v>32118800</v>
      </c>
    </row>
    <row r="29" spans="1:20" x14ac:dyDescent="0.25">
      <c r="A29" s="21" t="s">
        <v>214</v>
      </c>
      <c r="B29" s="99" t="s">
        <v>215</v>
      </c>
      <c r="C29" s="7">
        <v>38500000</v>
      </c>
      <c r="D29" s="92"/>
      <c r="E29" s="92"/>
      <c r="F29" s="10"/>
      <c r="G29" s="7">
        <f t="shared" si="1"/>
        <v>38500000</v>
      </c>
      <c r="H29" s="7">
        <v>2786400</v>
      </c>
      <c r="I29" s="7">
        <v>2382875</v>
      </c>
      <c r="J29" s="7">
        <v>2447325</v>
      </c>
      <c r="K29" s="7">
        <v>2824700</v>
      </c>
      <c r="L29" s="7">
        <v>3704975</v>
      </c>
      <c r="M29" s="7">
        <v>2838650</v>
      </c>
      <c r="N29" s="7">
        <v>1358200</v>
      </c>
      <c r="O29" s="7">
        <v>2801225</v>
      </c>
      <c r="P29" s="7">
        <v>2871200</v>
      </c>
      <c r="Q29" s="7">
        <v>2507175</v>
      </c>
      <c r="R29" s="7">
        <v>2729225</v>
      </c>
      <c r="S29" s="7">
        <v>2866850</v>
      </c>
      <c r="T29" s="37">
        <f t="shared" si="8"/>
        <v>32118800</v>
      </c>
    </row>
    <row r="30" spans="1:20" ht="15.75" x14ac:dyDescent="0.3">
      <c r="A30" s="16" t="s">
        <v>216</v>
      </c>
      <c r="B30" s="17" t="s">
        <v>217</v>
      </c>
      <c r="C30" s="18">
        <f>C31+C32</f>
        <v>1082000000</v>
      </c>
      <c r="D30" s="93">
        <f t="shared" ref="D30:E30" si="9">D31+D32</f>
        <v>15000000</v>
      </c>
      <c r="E30" s="93">
        <f t="shared" si="9"/>
        <v>0</v>
      </c>
      <c r="F30" s="10"/>
      <c r="G30" s="18">
        <f t="shared" ref="G30:T30" si="10">G31+G32</f>
        <v>1097000000</v>
      </c>
      <c r="H30" s="18">
        <f t="shared" si="10"/>
        <v>100668114</v>
      </c>
      <c r="I30" s="18">
        <f t="shared" si="10"/>
        <v>563521842</v>
      </c>
      <c r="J30" s="18">
        <f t="shared" si="10"/>
        <v>48000000</v>
      </c>
      <c r="K30" s="18">
        <f t="shared" si="10"/>
        <v>122536501</v>
      </c>
      <c r="L30" s="18">
        <f t="shared" si="10"/>
        <v>30000000</v>
      </c>
      <c r="M30" s="18">
        <f t="shared" si="10"/>
        <v>0</v>
      </c>
      <c r="N30" s="18">
        <f t="shared" si="10"/>
        <v>0</v>
      </c>
      <c r="O30" s="18">
        <f t="shared" si="10"/>
        <v>0</v>
      </c>
      <c r="P30" s="18">
        <f t="shared" si="10"/>
        <v>2257416</v>
      </c>
      <c r="Q30" s="18">
        <f t="shared" si="10"/>
        <v>114617182</v>
      </c>
      <c r="R30" s="18">
        <f t="shared" si="10"/>
        <v>0</v>
      </c>
      <c r="S30" s="18">
        <f t="shared" si="10"/>
        <v>33000000</v>
      </c>
      <c r="T30" s="18">
        <f t="shared" si="10"/>
        <v>1014601055</v>
      </c>
    </row>
    <row r="31" spans="1:20" x14ac:dyDescent="0.25">
      <c r="A31" s="21" t="s">
        <v>218</v>
      </c>
      <c r="B31" s="99" t="s">
        <v>219</v>
      </c>
      <c r="C31" s="7">
        <v>1040000000</v>
      </c>
      <c r="D31" s="92"/>
      <c r="E31" s="92"/>
      <c r="F31" s="10"/>
      <c r="G31" s="7">
        <f t="shared" si="1"/>
        <v>1040000000</v>
      </c>
      <c r="H31" s="7">
        <v>50381525</v>
      </c>
      <c r="I31" s="36">
        <v>561456517</v>
      </c>
      <c r="J31" s="36">
        <v>48000000</v>
      </c>
      <c r="K31" s="36">
        <v>122536501</v>
      </c>
      <c r="L31" s="36">
        <v>30000000</v>
      </c>
      <c r="M31" s="36"/>
      <c r="N31" s="36"/>
      <c r="O31" s="36"/>
      <c r="P31" s="36">
        <v>2136355</v>
      </c>
      <c r="Q31" s="36">
        <v>114443028</v>
      </c>
      <c r="R31" s="36"/>
      <c r="S31" s="36">
        <v>33000000</v>
      </c>
      <c r="T31" s="37">
        <f>H31+I31+J31+K31+L31+M31+N31+O31+P31+Q31+R31+S31</f>
        <v>961953926</v>
      </c>
    </row>
    <row r="32" spans="1:20" x14ac:dyDescent="0.25">
      <c r="A32" s="21" t="s">
        <v>220</v>
      </c>
      <c r="B32" s="99" t="s">
        <v>221</v>
      </c>
      <c r="C32" s="7">
        <v>42000000</v>
      </c>
      <c r="D32" s="91">
        <v>15000000</v>
      </c>
      <c r="E32" s="92"/>
      <c r="F32" s="10"/>
      <c r="G32" s="7">
        <f t="shared" si="1"/>
        <v>57000000</v>
      </c>
      <c r="H32" s="7">
        <v>50286589</v>
      </c>
      <c r="I32" s="36">
        <v>2065325</v>
      </c>
      <c r="J32" s="36"/>
      <c r="K32" s="36"/>
      <c r="L32" s="36"/>
      <c r="M32" s="36"/>
      <c r="N32" s="36"/>
      <c r="O32" s="36"/>
      <c r="P32" s="36">
        <v>121061</v>
      </c>
      <c r="Q32" s="36">
        <v>174154</v>
      </c>
      <c r="R32" s="36"/>
      <c r="S32" s="36"/>
      <c r="T32" s="37">
        <f>H32+I32+J32+K32+L32+M32+N32+O32+P32+Q32+R32+S32</f>
        <v>52647129</v>
      </c>
    </row>
    <row r="33" spans="1:20" ht="15.75" x14ac:dyDescent="0.3">
      <c r="A33" s="26" t="s">
        <v>222</v>
      </c>
      <c r="B33" s="27" t="s">
        <v>223</v>
      </c>
      <c r="C33" s="18">
        <f>SUM(C34:C38)</f>
        <v>591500000</v>
      </c>
      <c r="D33" s="93">
        <f t="shared" ref="D33:E33" si="11">SUM(D34:D38)</f>
        <v>368000000</v>
      </c>
      <c r="E33" s="93">
        <f t="shared" si="11"/>
        <v>141000000</v>
      </c>
      <c r="F33" s="10"/>
      <c r="G33" s="18">
        <f t="shared" ref="G33:T33" si="12">SUM(G34:G38)</f>
        <v>818500000</v>
      </c>
      <c r="H33" s="18">
        <f t="shared" si="12"/>
        <v>21450000</v>
      </c>
      <c r="I33" s="18">
        <f t="shared" si="12"/>
        <v>0</v>
      </c>
      <c r="J33" s="18">
        <f t="shared" si="12"/>
        <v>178000000</v>
      </c>
      <c r="K33" s="18">
        <f t="shared" si="12"/>
        <v>0</v>
      </c>
      <c r="L33" s="18">
        <f t="shared" si="12"/>
        <v>33013014</v>
      </c>
      <c r="M33" s="18">
        <f t="shared" si="12"/>
        <v>0</v>
      </c>
      <c r="N33" s="18">
        <f t="shared" si="12"/>
        <v>0</v>
      </c>
      <c r="O33" s="18">
        <f t="shared" si="12"/>
        <v>0</v>
      </c>
      <c r="P33" s="18">
        <f t="shared" si="12"/>
        <v>453550000</v>
      </c>
      <c r="Q33" s="18">
        <f t="shared" si="12"/>
        <v>0</v>
      </c>
      <c r="R33" s="18">
        <f t="shared" si="12"/>
        <v>0</v>
      </c>
      <c r="S33" s="18">
        <f t="shared" si="12"/>
        <v>0</v>
      </c>
      <c r="T33" s="18">
        <f t="shared" si="12"/>
        <v>686013014</v>
      </c>
    </row>
    <row r="34" spans="1:20" x14ac:dyDescent="0.25">
      <c r="A34" s="21" t="s">
        <v>224</v>
      </c>
      <c r="B34" s="100" t="s">
        <v>225</v>
      </c>
      <c r="C34" s="7">
        <v>20000000</v>
      </c>
      <c r="D34" s="92"/>
      <c r="E34" s="91">
        <v>11000000</v>
      </c>
      <c r="F34" s="10"/>
      <c r="G34" s="7">
        <f t="shared" si="1"/>
        <v>9000000</v>
      </c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37">
        <f>H34+I34+J34+K34+L34+M34+N34+O34+P34+Q34+R34+S34</f>
        <v>0</v>
      </c>
    </row>
    <row r="35" spans="1:20" x14ac:dyDescent="0.25">
      <c r="A35" s="10" t="s">
        <v>226</v>
      </c>
      <c r="B35" s="100" t="s">
        <v>227</v>
      </c>
      <c r="C35" s="7">
        <v>360000000</v>
      </c>
      <c r="D35" s="91">
        <f>160000000+120000000+5000000</f>
        <v>285000000</v>
      </c>
      <c r="E35" s="91">
        <v>120000000</v>
      </c>
      <c r="F35" s="10"/>
      <c r="G35" s="7">
        <f t="shared" si="1"/>
        <v>525000000</v>
      </c>
      <c r="H35" s="7">
        <v>21450000</v>
      </c>
      <c r="I35" s="7"/>
      <c r="J35" s="7"/>
      <c r="K35" s="7"/>
      <c r="L35" s="7">
        <v>33013014</v>
      </c>
      <c r="M35" s="7"/>
      <c r="N35" s="7"/>
      <c r="O35" s="7"/>
      <c r="P35" s="7">
        <v>453550000</v>
      </c>
      <c r="Q35" s="7"/>
      <c r="R35" s="7"/>
      <c r="S35" s="7"/>
      <c r="T35" s="37">
        <f>H35+I35+J35+K35+L35+M35+N35+O35+P35+Q35+R35+S35</f>
        <v>508013014</v>
      </c>
    </row>
    <row r="36" spans="1:20" x14ac:dyDescent="0.25">
      <c r="A36" s="19" t="s">
        <v>228</v>
      </c>
      <c r="B36" s="100" t="s">
        <v>229</v>
      </c>
      <c r="C36" s="7">
        <v>12000000</v>
      </c>
      <c r="D36" s="92"/>
      <c r="E36" s="91">
        <v>10000000</v>
      </c>
      <c r="F36" s="10"/>
      <c r="G36" s="7">
        <f t="shared" si="1"/>
        <v>2000000</v>
      </c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37">
        <f>H36+I36+J36+K36+L36+M36+N36+O36+P36+Q36+R36+S36</f>
        <v>0</v>
      </c>
    </row>
    <row r="37" spans="1:20" x14ac:dyDescent="0.25">
      <c r="A37" s="19" t="s">
        <v>230</v>
      </c>
      <c r="B37" s="100" t="s">
        <v>231</v>
      </c>
      <c r="C37" s="7">
        <v>1500000</v>
      </c>
      <c r="D37" s="92"/>
      <c r="E37" s="91"/>
      <c r="F37" s="10"/>
      <c r="G37" s="7">
        <f t="shared" si="1"/>
        <v>1500000</v>
      </c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37">
        <f>H37+I37+J37+K37+L37+M37+N37+O37+P37+Q37+R37+S37</f>
        <v>0</v>
      </c>
    </row>
    <row r="38" spans="1:20" x14ac:dyDescent="0.25">
      <c r="A38" s="19" t="s">
        <v>232</v>
      </c>
      <c r="B38" s="100" t="s">
        <v>233</v>
      </c>
      <c r="C38" s="7">
        <v>198000000</v>
      </c>
      <c r="D38" s="91">
        <v>83000000</v>
      </c>
      <c r="E38" s="92"/>
      <c r="F38" s="10"/>
      <c r="G38" s="7">
        <f t="shared" si="1"/>
        <v>281000000</v>
      </c>
      <c r="H38" s="7"/>
      <c r="I38" s="7"/>
      <c r="J38" s="7">
        <v>178000000</v>
      </c>
      <c r="K38" s="7"/>
      <c r="L38" s="7"/>
      <c r="M38" s="7"/>
      <c r="N38" s="7"/>
      <c r="O38" s="7"/>
      <c r="P38" s="7"/>
      <c r="Q38" s="7"/>
      <c r="R38" s="7"/>
      <c r="S38" s="7"/>
      <c r="T38" s="37">
        <f>H38+I38+J38+K38+L38+M38+N38+O38+P38+Q38+R38+S38</f>
        <v>178000000</v>
      </c>
    </row>
    <row r="39" spans="1:20" ht="15.75" x14ac:dyDescent="0.3">
      <c r="A39" s="16" t="s">
        <v>234</v>
      </c>
      <c r="B39" s="17" t="s">
        <v>235</v>
      </c>
      <c r="C39" s="18">
        <f>SUM(C40:C52)</f>
        <v>1356000000</v>
      </c>
      <c r="D39" s="93">
        <f t="shared" ref="D39:E39" si="13">SUM(D40:D52)</f>
        <v>54000000</v>
      </c>
      <c r="E39" s="93">
        <f t="shared" si="13"/>
        <v>221800000</v>
      </c>
      <c r="F39" s="10"/>
      <c r="G39" s="18">
        <f t="shared" ref="G39:T39" si="14">SUM(G40:G52)</f>
        <v>1188200000</v>
      </c>
      <c r="H39" s="18">
        <f t="shared" si="14"/>
        <v>57959339</v>
      </c>
      <c r="I39" s="18">
        <f t="shared" si="14"/>
        <v>207805001</v>
      </c>
      <c r="J39" s="18">
        <f t="shared" si="14"/>
        <v>12360473</v>
      </c>
      <c r="K39" s="18">
        <f t="shared" si="14"/>
        <v>70659225</v>
      </c>
      <c r="L39" s="18">
        <f t="shared" si="14"/>
        <v>35448179</v>
      </c>
      <c r="M39" s="18">
        <f t="shared" si="14"/>
        <v>23676760</v>
      </c>
      <c r="N39" s="18">
        <f t="shared" si="14"/>
        <v>93431682</v>
      </c>
      <c r="O39" s="18">
        <f t="shared" si="14"/>
        <v>122606555</v>
      </c>
      <c r="P39" s="18">
        <f t="shared" si="14"/>
        <v>125345328</v>
      </c>
      <c r="Q39" s="18">
        <f t="shared" si="14"/>
        <v>163556805</v>
      </c>
      <c r="R39" s="18">
        <f t="shared" si="14"/>
        <v>40176656</v>
      </c>
      <c r="S39" s="18">
        <f t="shared" si="14"/>
        <v>44744513</v>
      </c>
      <c r="T39" s="18">
        <f t="shared" si="14"/>
        <v>997770516</v>
      </c>
    </row>
    <row r="40" spans="1:20" x14ac:dyDescent="0.25">
      <c r="A40" s="19" t="s">
        <v>236</v>
      </c>
      <c r="B40" s="100" t="s">
        <v>237</v>
      </c>
      <c r="C40" s="7">
        <v>225000000</v>
      </c>
      <c r="D40" s="92"/>
      <c r="E40" s="92"/>
      <c r="F40" s="10"/>
      <c r="G40" s="7">
        <f t="shared" si="1"/>
        <v>225000000</v>
      </c>
      <c r="H40" s="7"/>
      <c r="I40" s="7"/>
      <c r="J40" s="7"/>
      <c r="K40" s="7"/>
      <c r="L40" s="7"/>
      <c r="M40" s="7">
        <v>17571000</v>
      </c>
      <c r="N40" s="7"/>
      <c r="O40" s="7">
        <v>29995140</v>
      </c>
      <c r="P40" s="7">
        <v>54631470</v>
      </c>
      <c r="Q40" s="7">
        <v>67891171</v>
      </c>
      <c r="R40" s="7"/>
      <c r="S40" s="7">
        <v>5010000</v>
      </c>
      <c r="T40" s="37">
        <f t="shared" ref="T40:T52" si="15">H40+I40+J40+K40+L40+M40+N40+O40+P40+Q40+R40+S40</f>
        <v>175098781</v>
      </c>
    </row>
    <row r="41" spans="1:20" x14ac:dyDescent="0.25">
      <c r="A41" s="19" t="s">
        <v>238</v>
      </c>
      <c r="B41" s="100" t="s">
        <v>239</v>
      </c>
      <c r="C41" s="7">
        <v>84000000</v>
      </c>
      <c r="D41" s="92"/>
      <c r="E41" s="92"/>
      <c r="F41" s="10"/>
      <c r="G41" s="7">
        <f t="shared" si="1"/>
        <v>84000000</v>
      </c>
      <c r="H41" s="7"/>
      <c r="I41" s="7"/>
      <c r="J41" s="7"/>
      <c r="K41" s="7">
        <v>18529700</v>
      </c>
      <c r="L41" s="7"/>
      <c r="M41" s="7"/>
      <c r="N41" s="7"/>
      <c r="O41" s="7"/>
      <c r="P41" s="7">
        <v>61595228</v>
      </c>
      <c r="Q41" s="7"/>
      <c r="R41" s="7"/>
      <c r="S41" s="7"/>
      <c r="T41" s="37">
        <f t="shared" si="15"/>
        <v>80124928</v>
      </c>
    </row>
    <row r="42" spans="1:20" x14ac:dyDescent="0.25">
      <c r="A42" s="19" t="s">
        <v>240</v>
      </c>
      <c r="B42" s="100" t="s">
        <v>241</v>
      </c>
      <c r="C42" s="7">
        <v>290000000</v>
      </c>
      <c r="D42" s="92"/>
      <c r="E42" s="91">
        <f>20000000+20000000</f>
        <v>40000000</v>
      </c>
      <c r="F42" s="10"/>
      <c r="G42" s="7">
        <f t="shared" si="1"/>
        <v>250000000</v>
      </c>
      <c r="H42" s="7">
        <v>17613074</v>
      </c>
      <c r="I42" s="7">
        <v>17101884</v>
      </c>
      <c r="J42" s="7">
        <v>8560473</v>
      </c>
      <c r="K42" s="7">
        <v>26049542</v>
      </c>
      <c r="L42" s="7">
        <v>20561299</v>
      </c>
      <c r="M42" s="7">
        <v>4987295</v>
      </c>
      <c r="N42" s="7">
        <v>21934466</v>
      </c>
      <c r="O42" s="7">
        <v>24714630</v>
      </c>
      <c r="P42" s="7">
        <v>9118630</v>
      </c>
      <c r="Q42" s="7">
        <v>30200315</v>
      </c>
      <c r="R42" s="7">
        <v>18251114</v>
      </c>
      <c r="S42" s="7">
        <v>18656117</v>
      </c>
      <c r="T42" s="37">
        <f t="shared" si="15"/>
        <v>217748839</v>
      </c>
    </row>
    <row r="43" spans="1:20" x14ac:dyDescent="0.25">
      <c r="A43" s="19" t="s">
        <v>242</v>
      </c>
      <c r="B43" s="100" t="s">
        <v>243</v>
      </c>
      <c r="C43" s="7">
        <v>40000000</v>
      </c>
      <c r="D43" s="92"/>
      <c r="E43" s="91">
        <v>20000000</v>
      </c>
      <c r="F43" s="10"/>
      <c r="G43" s="7">
        <f t="shared" si="1"/>
        <v>20000000</v>
      </c>
      <c r="H43" s="7"/>
      <c r="I43" s="7"/>
      <c r="J43" s="7"/>
      <c r="K43" s="7"/>
      <c r="L43" s="7">
        <v>1117956</v>
      </c>
      <c r="M43" s="7">
        <v>1118465</v>
      </c>
      <c r="N43" s="7">
        <v>5413602</v>
      </c>
      <c r="O43" s="7">
        <v>1557445</v>
      </c>
      <c r="P43" s="7"/>
      <c r="Q43" s="7">
        <v>266326</v>
      </c>
      <c r="R43" s="7">
        <v>1856934</v>
      </c>
      <c r="S43" s="7"/>
      <c r="T43" s="37">
        <f t="shared" si="15"/>
        <v>11330728</v>
      </c>
    </row>
    <row r="44" spans="1:20" x14ac:dyDescent="0.25">
      <c r="A44" s="19" t="s">
        <v>244</v>
      </c>
      <c r="B44" s="100" t="s">
        <v>245</v>
      </c>
      <c r="C44" s="7">
        <v>180000000</v>
      </c>
      <c r="D44" s="92"/>
      <c r="E44" s="91">
        <v>30000000</v>
      </c>
      <c r="F44" s="10"/>
      <c r="G44" s="7">
        <f t="shared" si="1"/>
        <v>150000000</v>
      </c>
      <c r="H44" s="7"/>
      <c r="I44" s="7">
        <v>121132720</v>
      </c>
      <c r="J44" s="7"/>
      <c r="K44" s="7"/>
      <c r="L44" s="7"/>
      <c r="M44" s="7"/>
      <c r="N44" s="7"/>
      <c r="O44" s="7"/>
      <c r="P44" s="7"/>
      <c r="Q44" s="7"/>
      <c r="R44" s="7"/>
      <c r="S44" s="7">
        <v>5217696</v>
      </c>
      <c r="T44" s="37">
        <f t="shared" si="15"/>
        <v>126350416</v>
      </c>
    </row>
    <row r="45" spans="1:20" x14ac:dyDescent="0.25">
      <c r="A45" s="23" t="s">
        <v>246</v>
      </c>
      <c r="B45" s="100" t="s">
        <v>247</v>
      </c>
      <c r="C45" s="68">
        <v>19000000</v>
      </c>
      <c r="D45" s="92"/>
      <c r="E45" s="92"/>
      <c r="F45" s="69"/>
      <c r="G45" s="68">
        <f t="shared" si="1"/>
        <v>19000000</v>
      </c>
      <c r="H45" s="7"/>
      <c r="I45" s="7"/>
      <c r="J45" s="7"/>
      <c r="K45" s="7"/>
      <c r="L45" s="7"/>
      <c r="M45" s="7"/>
      <c r="N45" s="7"/>
      <c r="O45" s="7"/>
      <c r="P45" s="7"/>
      <c r="Q45" s="7"/>
      <c r="R45" s="7">
        <v>6519398</v>
      </c>
      <c r="S45" s="7"/>
      <c r="T45" s="37">
        <f t="shared" si="15"/>
        <v>6519398</v>
      </c>
    </row>
    <row r="46" spans="1:20" x14ac:dyDescent="0.25">
      <c r="A46" s="19" t="s">
        <v>238</v>
      </c>
      <c r="B46" s="100" t="s">
        <v>248</v>
      </c>
      <c r="C46" s="7">
        <v>38000000</v>
      </c>
      <c r="D46" s="92"/>
      <c r="E46" s="91">
        <f>20000000+10000000</f>
        <v>30000000</v>
      </c>
      <c r="F46" s="10"/>
      <c r="G46" s="7">
        <f t="shared" si="1"/>
        <v>8000000</v>
      </c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37">
        <f t="shared" si="15"/>
        <v>0</v>
      </c>
    </row>
    <row r="47" spans="1:20" x14ac:dyDescent="0.25">
      <c r="A47" s="19" t="s">
        <v>249</v>
      </c>
      <c r="B47" s="100" t="s">
        <v>250</v>
      </c>
      <c r="C47" s="7">
        <v>100000000</v>
      </c>
      <c r="D47" s="92"/>
      <c r="E47" s="91">
        <f>50000000+43000000</f>
        <v>93000000</v>
      </c>
      <c r="F47" s="10"/>
      <c r="G47" s="7">
        <f t="shared" si="1"/>
        <v>7000000</v>
      </c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37">
        <f t="shared" si="15"/>
        <v>0</v>
      </c>
    </row>
    <row r="48" spans="1:20" x14ac:dyDescent="0.25">
      <c r="A48" s="19" t="s">
        <v>242</v>
      </c>
      <c r="B48" s="100" t="s">
        <v>251</v>
      </c>
      <c r="C48" s="7">
        <v>52000000</v>
      </c>
      <c r="D48" s="91">
        <v>20000000</v>
      </c>
      <c r="E48" s="92"/>
      <c r="F48" s="10"/>
      <c r="G48" s="7">
        <f t="shared" si="1"/>
        <v>72000000</v>
      </c>
      <c r="H48" s="7">
        <v>15200000</v>
      </c>
      <c r="I48" s="7"/>
      <c r="J48" s="7">
        <v>3800000</v>
      </c>
      <c r="K48" s="7"/>
      <c r="L48" s="7"/>
      <c r="M48" s="7"/>
      <c r="N48" s="7">
        <v>20000000</v>
      </c>
      <c r="O48" s="7"/>
      <c r="P48" s="7"/>
      <c r="Q48" s="7">
        <v>29375750</v>
      </c>
      <c r="R48" s="7"/>
      <c r="S48" s="7">
        <v>800000</v>
      </c>
      <c r="T48" s="37">
        <f t="shared" si="15"/>
        <v>69175750</v>
      </c>
    </row>
    <row r="49" spans="1:25" x14ac:dyDescent="0.25">
      <c r="A49" s="19" t="s">
        <v>252</v>
      </c>
      <c r="B49" s="100" t="s">
        <v>253</v>
      </c>
      <c r="C49" s="7">
        <v>100000000</v>
      </c>
      <c r="D49" s="91">
        <v>16000000</v>
      </c>
      <c r="E49" s="91">
        <v>8000000</v>
      </c>
      <c r="F49" s="10"/>
      <c r="G49" s="7">
        <f t="shared" si="1"/>
        <v>108000000</v>
      </c>
      <c r="H49" s="7">
        <v>11400000</v>
      </c>
      <c r="I49" s="7">
        <v>14200000</v>
      </c>
      <c r="K49" s="7"/>
      <c r="L49" s="7"/>
      <c r="M49" s="7"/>
      <c r="N49" s="7">
        <v>32000000</v>
      </c>
      <c r="O49" s="7">
        <v>20000000</v>
      </c>
      <c r="P49" s="7"/>
      <c r="Q49" s="7">
        <v>8000000</v>
      </c>
      <c r="R49" s="7"/>
      <c r="S49" s="7">
        <v>1333333</v>
      </c>
      <c r="T49" s="37">
        <f t="shared" si="15"/>
        <v>86933333</v>
      </c>
    </row>
    <row r="50" spans="1:25" x14ac:dyDescent="0.25">
      <c r="A50" s="25" t="s">
        <v>230</v>
      </c>
      <c r="B50" s="100" t="s">
        <v>254</v>
      </c>
      <c r="C50" s="7">
        <v>1000000</v>
      </c>
      <c r="D50" s="92"/>
      <c r="E50" s="91">
        <v>800000</v>
      </c>
      <c r="F50" s="10"/>
      <c r="G50" s="7">
        <f t="shared" si="1"/>
        <v>200000</v>
      </c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37">
        <f t="shared" si="15"/>
        <v>0</v>
      </c>
    </row>
    <row r="51" spans="1:25" x14ac:dyDescent="0.25">
      <c r="A51" s="25" t="s">
        <v>244</v>
      </c>
      <c r="B51" s="100" t="s">
        <v>255</v>
      </c>
      <c r="C51" s="7">
        <v>185000000</v>
      </c>
      <c r="D51" s="92"/>
      <c r="E51" s="92"/>
      <c r="F51" s="10"/>
      <c r="G51" s="7">
        <f t="shared" si="1"/>
        <v>185000000</v>
      </c>
      <c r="H51" s="7">
        <v>13746265</v>
      </c>
      <c r="I51" s="7">
        <v>13370397</v>
      </c>
      <c r="J51" s="7"/>
      <c r="K51" s="7">
        <v>26079983</v>
      </c>
      <c r="L51" s="7">
        <v>13768924</v>
      </c>
      <c r="M51" s="7"/>
      <c r="N51" s="7">
        <v>14083614</v>
      </c>
      <c r="O51" s="7">
        <v>28339340</v>
      </c>
      <c r="P51" s="7"/>
      <c r="Q51" s="7">
        <v>27823243</v>
      </c>
      <c r="R51" s="7">
        <v>13549210</v>
      </c>
      <c r="S51" s="7">
        <v>13727367</v>
      </c>
      <c r="T51" s="37">
        <f t="shared" si="15"/>
        <v>164488343</v>
      </c>
    </row>
    <row r="52" spans="1:25" x14ac:dyDescent="0.25">
      <c r="A52" s="23" t="s">
        <v>256</v>
      </c>
      <c r="B52" s="100" t="s">
        <v>257</v>
      </c>
      <c r="C52" s="7">
        <v>42000000</v>
      </c>
      <c r="D52" s="91">
        <v>18000000</v>
      </c>
      <c r="E52" s="92"/>
      <c r="F52" s="10"/>
      <c r="G52" s="7">
        <f t="shared" si="1"/>
        <v>60000000</v>
      </c>
      <c r="H52" s="7"/>
      <c r="I52" s="7">
        <v>42000000</v>
      </c>
      <c r="J52" s="7"/>
      <c r="K52" s="7"/>
      <c r="L52" s="7"/>
      <c r="M52" s="7"/>
      <c r="N52" s="7"/>
      <c r="O52" s="7">
        <v>18000000</v>
      </c>
      <c r="P52" s="7"/>
      <c r="Q52" s="7"/>
      <c r="R52" s="7"/>
      <c r="S52" s="7"/>
      <c r="T52" s="37">
        <f t="shared" si="15"/>
        <v>60000000</v>
      </c>
    </row>
    <row r="53" spans="1:25" ht="15.75" x14ac:dyDescent="0.3">
      <c r="A53" s="16" t="s">
        <v>258</v>
      </c>
      <c r="B53" s="17" t="s">
        <v>259</v>
      </c>
      <c r="C53" s="18">
        <f>SUM(C54:C55)</f>
        <v>46000000</v>
      </c>
      <c r="D53" s="93">
        <f t="shared" ref="D53:E53" si="16">SUM(D54:D55)</f>
        <v>0</v>
      </c>
      <c r="E53" s="93">
        <f t="shared" si="16"/>
        <v>0</v>
      </c>
      <c r="F53" s="10"/>
      <c r="G53" s="18">
        <f t="shared" ref="G53:T53" si="17">SUM(G54:G55)</f>
        <v>46000000</v>
      </c>
      <c r="H53" s="18">
        <f t="shared" si="17"/>
        <v>1993321</v>
      </c>
      <c r="I53" s="18">
        <f t="shared" si="17"/>
        <v>1993321</v>
      </c>
      <c r="J53" s="18">
        <f t="shared" si="17"/>
        <v>1993321</v>
      </c>
      <c r="K53" s="18">
        <f t="shared" si="17"/>
        <v>1993321</v>
      </c>
      <c r="L53" s="18">
        <f t="shared" si="17"/>
        <v>1993321</v>
      </c>
      <c r="M53" s="18">
        <f t="shared" si="17"/>
        <v>9743290</v>
      </c>
      <c r="N53" s="18">
        <f t="shared" si="17"/>
        <v>1993321</v>
      </c>
      <c r="O53" s="18">
        <f t="shared" si="17"/>
        <v>1993321</v>
      </c>
      <c r="P53" s="18">
        <f t="shared" si="17"/>
        <v>1993321</v>
      </c>
      <c r="Q53" s="18">
        <f t="shared" si="17"/>
        <v>1993321</v>
      </c>
      <c r="R53" s="18">
        <f t="shared" si="17"/>
        <v>1993321</v>
      </c>
      <c r="S53" s="18">
        <f t="shared" si="17"/>
        <v>3986642</v>
      </c>
      <c r="T53" s="18">
        <f t="shared" si="17"/>
        <v>33663142</v>
      </c>
    </row>
    <row r="54" spans="1:25" x14ac:dyDescent="0.25">
      <c r="A54" s="23" t="s">
        <v>260</v>
      </c>
      <c r="B54" s="99" t="s">
        <v>261</v>
      </c>
      <c r="C54" s="7">
        <v>45000000</v>
      </c>
      <c r="D54" s="92"/>
      <c r="E54" s="92"/>
      <c r="F54" s="10"/>
      <c r="G54" s="7">
        <f t="shared" si="1"/>
        <v>45000000</v>
      </c>
      <c r="H54" s="7">
        <v>1993321</v>
      </c>
      <c r="I54" s="36">
        <v>1993321</v>
      </c>
      <c r="J54" s="36">
        <v>1993321</v>
      </c>
      <c r="K54" s="36">
        <v>1993321</v>
      </c>
      <c r="L54" s="36">
        <v>1993321</v>
      </c>
      <c r="M54" s="36">
        <v>9743290</v>
      </c>
      <c r="N54" s="36">
        <v>1993321</v>
      </c>
      <c r="O54" s="7">
        <v>1993321</v>
      </c>
      <c r="P54" s="7">
        <v>1993321</v>
      </c>
      <c r="Q54" s="7">
        <v>1993321</v>
      </c>
      <c r="R54" s="7">
        <v>1993321</v>
      </c>
      <c r="S54" s="7">
        <v>3986642</v>
      </c>
      <c r="T54" s="37">
        <f>H54+I54+J54+K54+L54+M54+N54+O54+P54+Q54+R54+S54</f>
        <v>33663142</v>
      </c>
    </row>
    <row r="55" spans="1:25" x14ac:dyDescent="0.25">
      <c r="A55" s="23" t="s">
        <v>262</v>
      </c>
      <c r="B55" s="99" t="s">
        <v>263</v>
      </c>
      <c r="C55" s="7">
        <v>1000000</v>
      </c>
      <c r="D55" s="92"/>
      <c r="E55" s="92"/>
      <c r="F55" s="10"/>
      <c r="G55" s="7">
        <f t="shared" si="1"/>
        <v>1000000</v>
      </c>
      <c r="H55" s="10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7">
        <f>H55+I55+J55+K55+L55+M55+N55+O55+P55+Q55+R55+S55</f>
        <v>0</v>
      </c>
    </row>
    <row r="56" spans="1:25" ht="15.75" x14ac:dyDescent="0.3">
      <c r="A56" s="16" t="s">
        <v>264</v>
      </c>
      <c r="B56" s="17" t="s">
        <v>265</v>
      </c>
      <c r="C56" s="18">
        <f>C57+C58+C59+C60+C61</f>
        <v>985000000</v>
      </c>
      <c r="D56" s="93">
        <f t="shared" ref="D56:E56" si="18">D57+D58+D59+D60+D61</f>
        <v>150000000</v>
      </c>
      <c r="E56" s="93">
        <f t="shared" si="18"/>
        <v>597000000</v>
      </c>
      <c r="F56" s="10"/>
      <c r="G56" s="18">
        <f t="shared" ref="G56:T56" si="19">G57+G58+G59+G60+G61</f>
        <v>538000000</v>
      </c>
      <c r="H56" s="18">
        <f t="shared" si="19"/>
        <v>22189268</v>
      </c>
      <c r="I56" s="18">
        <f t="shared" si="19"/>
        <v>41541031</v>
      </c>
      <c r="J56" s="18">
        <f t="shared" si="19"/>
        <v>16979666</v>
      </c>
      <c r="K56" s="18">
        <f t="shared" si="19"/>
        <v>3006291</v>
      </c>
      <c r="L56" s="18">
        <f t="shared" si="19"/>
        <v>649998</v>
      </c>
      <c r="M56" s="18">
        <f t="shared" si="19"/>
        <v>3640000</v>
      </c>
      <c r="N56" s="18">
        <f t="shared" si="19"/>
        <v>151892356</v>
      </c>
      <c r="O56" s="18">
        <f t="shared" si="19"/>
        <v>10659105</v>
      </c>
      <c r="P56" s="18">
        <f t="shared" si="19"/>
        <v>1039998</v>
      </c>
      <c r="Q56" s="18">
        <f t="shared" si="19"/>
        <v>73755666</v>
      </c>
      <c r="R56" s="18">
        <f t="shared" si="19"/>
        <v>3250000</v>
      </c>
      <c r="S56" s="18">
        <f t="shared" si="19"/>
        <v>23531300</v>
      </c>
      <c r="T56" s="18">
        <f t="shared" si="19"/>
        <v>352134679</v>
      </c>
    </row>
    <row r="57" spans="1:25" x14ac:dyDescent="0.25">
      <c r="A57" s="21" t="s">
        <v>266</v>
      </c>
      <c r="B57" s="99" t="s">
        <v>267</v>
      </c>
      <c r="C57" s="7">
        <v>35000000</v>
      </c>
      <c r="D57" s="91">
        <v>100000000</v>
      </c>
      <c r="E57" s="91">
        <v>13000000</v>
      </c>
      <c r="F57" s="10"/>
      <c r="G57" s="7">
        <f t="shared" si="1"/>
        <v>122000000</v>
      </c>
      <c r="H57" s="10"/>
      <c r="I57" s="36"/>
      <c r="J57" s="36"/>
      <c r="K57" s="36"/>
      <c r="L57" s="36"/>
      <c r="M57" s="36"/>
      <c r="N57" s="36">
        <v>121016518</v>
      </c>
      <c r="O57" s="7"/>
      <c r="P57" s="7"/>
      <c r="Q57" s="7"/>
      <c r="R57" s="7"/>
      <c r="S57" s="7"/>
      <c r="T57" s="37">
        <f>H57+I57+J57+K57+L57+M57+N57+O57+P57+Q57+R57+S57</f>
        <v>121016518</v>
      </c>
    </row>
    <row r="58" spans="1:25" x14ac:dyDescent="0.25">
      <c r="A58" s="21" t="s">
        <v>268</v>
      </c>
      <c r="B58" s="99" t="s">
        <v>269</v>
      </c>
      <c r="C58" s="7">
        <v>255000000</v>
      </c>
      <c r="D58" s="91"/>
      <c r="E58" s="91">
        <v>80000000</v>
      </c>
      <c r="F58" s="10"/>
      <c r="G58" s="7">
        <f t="shared" si="1"/>
        <v>175000000</v>
      </c>
      <c r="H58" s="10"/>
      <c r="I58" s="36">
        <v>7655326</v>
      </c>
      <c r="J58" s="36"/>
      <c r="K58" s="36">
        <v>2811291</v>
      </c>
      <c r="L58" s="36"/>
      <c r="M58" s="36"/>
      <c r="N58" s="36">
        <v>7359854</v>
      </c>
      <c r="O58" s="7">
        <v>10269105</v>
      </c>
      <c r="P58" s="7"/>
      <c r="Q58" s="7">
        <v>73149000</v>
      </c>
      <c r="R58" s="7"/>
      <c r="S58" s="7"/>
      <c r="T58" s="37">
        <f>H58+I58+J58+K58+L58+M58+N58+O58+P58+Q58+R58+S58</f>
        <v>101244576</v>
      </c>
    </row>
    <row r="59" spans="1:25" x14ac:dyDescent="0.25">
      <c r="A59" s="21" t="s">
        <v>270</v>
      </c>
      <c r="B59" s="99" t="s">
        <v>271</v>
      </c>
      <c r="C59" s="7">
        <v>80000000</v>
      </c>
      <c r="D59" s="91">
        <v>50000000</v>
      </c>
      <c r="E59" s="92"/>
      <c r="F59" s="10"/>
      <c r="G59" s="7">
        <f t="shared" si="1"/>
        <v>130000000</v>
      </c>
      <c r="H59" s="7">
        <v>22189268</v>
      </c>
      <c r="I59" s="36">
        <v>33885705</v>
      </c>
      <c r="J59" s="36">
        <v>16979666</v>
      </c>
      <c r="K59" s="36">
        <v>195000</v>
      </c>
      <c r="L59" s="36">
        <v>649998</v>
      </c>
      <c r="M59" s="36">
        <v>3640000</v>
      </c>
      <c r="N59" s="36">
        <v>23515984</v>
      </c>
      <c r="O59" s="7">
        <v>390000</v>
      </c>
      <c r="P59" s="7">
        <v>1039998</v>
      </c>
      <c r="Q59" s="7">
        <v>606666</v>
      </c>
      <c r="R59" s="7">
        <v>3250000</v>
      </c>
      <c r="S59" s="7">
        <v>23531300</v>
      </c>
      <c r="T59" s="37">
        <f>H59+I59+J59+K59+L59+M59+N59+O59+P59+Q59+R59+S59</f>
        <v>129873585</v>
      </c>
    </row>
    <row r="60" spans="1:25" x14ac:dyDescent="0.25">
      <c r="A60" s="21" t="s">
        <v>272</v>
      </c>
      <c r="B60" s="99" t="s">
        <v>273</v>
      </c>
      <c r="C60" s="7">
        <v>330000000</v>
      </c>
      <c r="D60" s="91"/>
      <c r="E60" s="91">
        <f>200000000+80000000+15000000</f>
        <v>295000000</v>
      </c>
      <c r="F60" s="10"/>
      <c r="G60" s="7">
        <f t="shared" si="1"/>
        <v>35000000</v>
      </c>
      <c r="H60" s="10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7">
        <f>H60+I60+J60+K60+L60+M60+N60+O60+P60+Q60+R60+S60</f>
        <v>0</v>
      </c>
    </row>
    <row r="61" spans="1:25" x14ac:dyDescent="0.25">
      <c r="A61" s="21" t="s">
        <v>274</v>
      </c>
      <c r="B61" s="99" t="s">
        <v>275</v>
      </c>
      <c r="C61" s="7">
        <v>285000000</v>
      </c>
      <c r="D61" s="92"/>
      <c r="E61" s="91">
        <f>85000000+51000000+65000000+8000000</f>
        <v>209000000</v>
      </c>
      <c r="F61" s="10"/>
      <c r="G61" s="7">
        <f t="shared" si="1"/>
        <v>76000000</v>
      </c>
      <c r="H61" s="10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7">
        <f>H61+I61+J61+K61+L61+M61+N61+O61+P61+Q61+R61+S61</f>
        <v>0</v>
      </c>
      <c r="W61" s="54"/>
      <c r="X61" s="54"/>
      <c r="Y61" s="54"/>
    </row>
    <row r="62" spans="1:25" ht="15.75" x14ac:dyDescent="0.3">
      <c r="A62" s="16"/>
      <c r="B62" s="17" t="s">
        <v>276</v>
      </c>
      <c r="C62" s="18">
        <f>C4+C8+C17+C21+C30+C33+C39+C53+C56</f>
        <v>14977887272</v>
      </c>
      <c r="D62" s="93">
        <f t="shared" ref="D62:E62" si="20">D4+D8+D17+D21+D30+D33+D39+D53+D56</f>
        <v>1055800000</v>
      </c>
      <c r="E62" s="93">
        <f t="shared" si="20"/>
        <v>1055800000</v>
      </c>
      <c r="F62" s="10"/>
      <c r="G62" s="18">
        <f t="shared" ref="G62:T62" si="21">G4+G8+G17+G21+G30+G33+G39+G53+G56</f>
        <v>14977887272</v>
      </c>
      <c r="H62" s="18">
        <f t="shared" si="21"/>
        <v>1034637853</v>
      </c>
      <c r="I62" s="18">
        <f t="shared" si="21"/>
        <v>1661707857</v>
      </c>
      <c r="J62" s="18">
        <f t="shared" si="21"/>
        <v>960059558</v>
      </c>
      <c r="K62" s="18">
        <f t="shared" si="21"/>
        <v>1194048325</v>
      </c>
      <c r="L62" s="18">
        <f t="shared" si="21"/>
        <v>1084091632</v>
      </c>
      <c r="M62" s="18">
        <f t="shared" si="21"/>
        <v>848005913</v>
      </c>
      <c r="N62" s="18">
        <f t="shared" si="21"/>
        <v>1187211323</v>
      </c>
      <c r="O62" s="18">
        <f t="shared" si="21"/>
        <v>897466667</v>
      </c>
      <c r="P62" s="18">
        <f t="shared" si="21"/>
        <v>1351574028</v>
      </c>
      <c r="Q62" s="18">
        <f t="shared" si="21"/>
        <v>1081870921</v>
      </c>
      <c r="R62" s="18">
        <f t="shared" si="21"/>
        <v>808393801</v>
      </c>
      <c r="S62" s="18">
        <f t="shared" si="21"/>
        <v>1389967046</v>
      </c>
      <c r="T62" s="18">
        <f t="shared" si="21"/>
        <v>13499034924</v>
      </c>
      <c r="W62" s="54"/>
      <c r="X62" s="54"/>
      <c r="Y62" s="54"/>
    </row>
    <row r="63" spans="1:25" x14ac:dyDescent="0.25">
      <c r="A63" s="21"/>
      <c r="B63" s="27" t="s">
        <v>277</v>
      </c>
      <c r="C63" s="10"/>
      <c r="D63" s="95">
        <f>E62-D62</f>
        <v>0</v>
      </c>
      <c r="E63" s="92"/>
      <c r="F63" s="10"/>
      <c r="G63" s="10"/>
      <c r="H63" s="10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10"/>
      <c r="W63" s="54"/>
      <c r="X63" s="54"/>
      <c r="Y63" s="54"/>
    </row>
    <row r="64" spans="1:25" x14ac:dyDescent="0.25">
      <c r="A64" s="16" t="s">
        <v>278</v>
      </c>
      <c r="B64" s="27" t="s">
        <v>279</v>
      </c>
      <c r="C64" s="7">
        <v>0</v>
      </c>
      <c r="D64" s="91"/>
      <c r="E64" s="91"/>
      <c r="F64" s="7"/>
      <c r="G64" s="7">
        <v>0</v>
      </c>
      <c r="H64" s="10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7">
        <f>H64+I64+J64+K64+L64+M64</f>
        <v>0</v>
      </c>
      <c r="W64" s="54"/>
      <c r="X64" s="54"/>
      <c r="Y64" s="54"/>
    </row>
    <row r="65" spans="1:25" x14ac:dyDescent="0.25">
      <c r="A65" s="21" t="s">
        <v>280</v>
      </c>
      <c r="B65" s="20" t="s">
        <v>281</v>
      </c>
      <c r="C65" s="7">
        <v>0</v>
      </c>
      <c r="D65" s="91"/>
      <c r="E65" s="91"/>
      <c r="F65" s="7"/>
      <c r="G65" s="7">
        <v>0</v>
      </c>
      <c r="H65" s="10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7">
        <f>H65+I65+J65+K65+L65+M65+N65+O65+P65+Q65+R65+S65</f>
        <v>0</v>
      </c>
      <c r="W65" s="54"/>
      <c r="X65" s="54"/>
      <c r="Y65" s="54"/>
    </row>
    <row r="66" spans="1:25" x14ac:dyDescent="0.25">
      <c r="A66" s="21" t="s">
        <v>282</v>
      </c>
      <c r="B66" s="20" t="s">
        <v>283</v>
      </c>
      <c r="C66" s="7">
        <v>0</v>
      </c>
      <c r="D66" s="91"/>
      <c r="E66" s="91"/>
      <c r="F66" s="7"/>
      <c r="G66" s="7">
        <v>0</v>
      </c>
      <c r="H66" s="10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7">
        <f>H66+I66+J66+K66+L66+M66+N66+O66+P66+Q66+R66+S66</f>
        <v>0</v>
      </c>
      <c r="W66" s="54"/>
      <c r="X66" s="54"/>
      <c r="Y66" s="54"/>
    </row>
    <row r="67" spans="1:25" x14ac:dyDescent="0.25">
      <c r="A67" s="14"/>
      <c r="B67" s="27" t="s">
        <v>284</v>
      </c>
      <c r="C67" s="7">
        <v>0</v>
      </c>
      <c r="D67" s="91"/>
      <c r="E67" s="91"/>
      <c r="F67" s="7"/>
      <c r="G67" s="7">
        <v>0</v>
      </c>
      <c r="H67" s="10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7">
        <f>H67+I67+J67+K67+L67+M67</f>
        <v>0</v>
      </c>
      <c r="W67" s="54"/>
      <c r="X67" s="54"/>
      <c r="Y67" s="54"/>
    </row>
    <row r="68" spans="1:25" x14ac:dyDescent="0.25">
      <c r="A68" s="21"/>
      <c r="B68" s="27" t="s">
        <v>285</v>
      </c>
      <c r="C68" s="10"/>
      <c r="D68" s="92"/>
      <c r="E68" s="92"/>
      <c r="F68" s="10"/>
      <c r="G68" s="10"/>
      <c r="H68" s="10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7">
        <f>H68+I68+J68+K68+L68+M68</f>
        <v>0</v>
      </c>
      <c r="W68" s="54"/>
      <c r="X68" s="54"/>
      <c r="Y68" s="54"/>
    </row>
    <row r="69" spans="1:25" ht="15.75" x14ac:dyDescent="0.3">
      <c r="B69" s="28" t="s">
        <v>329</v>
      </c>
      <c r="C69" s="10"/>
      <c r="D69" s="92"/>
      <c r="E69" s="92"/>
      <c r="F69" s="10"/>
      <c r="G69" s="10"/>
      <c r="H69" s="10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7">
        <f>H69+I69+J69+K69+L69+M69</f>
        <v>0</v>
      </c>
      <c r="W69" s="54"/>
      <c r="X69" s="54"/>
      <c r="Y69" s="54"/>
    </row>
    <row r="70" spans="1:25" x14ac:dyDescent="0.25">
      <c r="A70" s="29" t="s">
        <v>286</v>
      </c>
      <c r="B70" s="20" t="s">
        <v>287</v>
      </c>
      <c r="C70" s="7">
        <v>1800000000</v>
      </c>
      <c r="D70" s="92"/>
      <c r="E70" s="91">
        <v>1655800000</v>
      </c>
      <c r="F70" s="10"/>
      <c r="G70" s="7">
        <f t="shared" ref="G70:G76" si="22">C70+D70-E70+F70</f>
        <v>144200000</v>
      </c>
      <c r="H70" s="10"/>
      <c r="I70" s="36"/>
      <c r="J70" s="36"/>
      <c r="K70" s="36"/>
      <c r="L70" s="36">
        <v>144200000</v>
      </c>
      <c r="M70" s="36"/>
      <c r="N70" s="36"/>
      <c r="O70" s="36"/>
      <c r="P70" s="36"/>
      <c r="Q70" s="36"/>
      <c r="R70" s="36"/>
      <c r="S70" s="36"/>
      <c r="T70" s="37">
        <f t="shared" ref="T70:T76" si="23">H70+I70+J70+K70+L70+M70+N70+O70+P70+Q70+R70+S70</f>
        <v>144200000</v>
      </c>
      <c r="U70" s="47"/>
      <c r="W70" s="54"/>
      <c r="X70" s="54"/>
      <c r="Y70" s="54"/>
    </row>
    <row r="71" spans="1:25" x14ac:dyDescent="0.25">
      <c r="A71" s="29" t="s">
        <v>288</v>
      </c>
      <c r="B71" s="20" t="s">
        <v>289</v>
      </c>
      <c r="C71" s="7">
        <v>235000000</v>
      </c>
      <c r="D71" s="92"/>
      <c r="E71" s="91">
        <v>235000000</v>
      </c>
      <c r="F71" s="10"/>
      <c r="G71" s="7">
        <f t="shared" si="22"/>
        <v>0</v>
      </c>
      <c r="H71" s="10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7">
        <f t="shared" si="23"/>
        <v>0</v>
      </c>
      <c r="U71" s="47"/>
      <c r="W71" s="54"/>
      <c r="X71" s="54"/>
      <c r="Y71" s="54"/>
    </row>
    <row r="72" spans="1:25" x14ac:dyDescent="0.25">
      <c r="A72" s="29" t="s">
        <v>290</v>
      </c>
      <c r="B72" s="20" t="s">
        <v>291</v>
      </c>
      <c r="C72" s="7">
        <v>1280000000</v>
      </c>
      <c r="D72" s="92"/>
      <c r="E72" s="91">
        <v>897800000</v>
      </c>
      <c r="F72" s="10"/>
      <c r="G72" s="7">
        <f t="shared" si="22"/>
        <v>382200000</v>
      </c>
      <c r="H72" s="10"/>
      <c r="I72" s="36"/>
      <c r="J72" s="36"/>
      <c r="K72" s="36"/>
      <c r="L72" s="36">
        <v>382200000</v>
      </c>
      <c r="M72" s="36"/>
      <c r="N72" s="36"/>
      <c r="O72" s="36"/>
      <c r="P72" s="36"/>
      <c r="Q72" s="36"/>
      <c r="R72" s="36"/>
      <c r="S72" s="36"/>
      <c r="T72" s="37">
        <f t="shared" si="23"/>
        <v>382200000</v>
      </c>
      <c r="U72" s="47"/>
      <c r="W72" s="54"/>
      <c r="X72" s="54"/>
      <c r="Y72" s="54"/>
    </row>
    <row r="73" spans="1:25" x14ac:dyDescent="0.25">
      <c r="A73" s="29" t="s">
        <v>292</v>
      </c>
      <c r="B73" s="20" t="s">
        <v>124</v>
      </c>
      <c r="C73" s="7">
        <v>200000000</v>
      </c>
      <c r="D73" s="92"/>
      <c r="E73" s="92"/>
      <c r="F73" s="10"/>
      <c r="G73" s="7">
        <f t="shared" si="22"/>
        <v>200000000</v>
      </c>
      <c r="H73" s="10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7">
        <f t="shared" si="23"/>
        <v>0</v>
      </c>
      <c r="U73" s="47"/>
      <c r="W73" s="54"/>
      <c r="X73" s="54"/>
      <c r="Y73" s="54"/>
    </row>
    <row r="74" spans="1:25" s="51" customFormat="1" x14ac:dyDescent="0.25">
      <c r="A74" s="29" t="s">
        <v>310</v>
      </c>
      <c r="B74" s="20" t="s">
        <v>313</v>
      </c>
      <c r="C74" s="7"/>
      <c r="D74" s="91">
        <v>1765800000</v>
      </c>
      <c r="E74" s="92"/>
      <c r="F74" s="10"/>
      <c r="G74" s="7">
        <f t="shared" si="22"/>
        <v>1765800000</v>
      </c>
      <c r="H74" s="10"/>
      <c r="I74" s="36"/>
      <c r="J74" s="36"/>
      <c r="K74" s="36"/>
      <c r="L74" s="36"/>
      <c r="M74" s="36"/>
      <c r="N74" s="36"/>
      <c r="O74" s="36">
        <v>26800000</v>
      </c>
      <c r="P74" s="36">
        <v>29500000</v>
      </c>
      <c r="Q74" s="36">
        <v>6833333</v>
      </c>
      <c r="R74" s="36">
        <v>553566257</v>
      </c>
      <c r="S74" s="36">
        <v>733685272</v>
      </c>
      <c r="T74" s="37">
        <f t="shared" si="23"/>
        <v>1350384862</v>
      </c>
      <c r="U74" s="47"/>
      <c r="W74" s="54"/>
      <c r="X74" s="54"/>
      <c r="Y74" s="54"/>
    </row>
    <row r="75" spans="1:25" s="51" customFormat="1" x14ac:dyDescent="0.25">
      <c r="A75" s="29" t="s">
        <v>311</v>
      </c>
      <c r="B75" s="20" t="s">
        <v>316</v>
      </c>
      <c r="C75" s="7"/>
      <c r="D75" s="91">
        <v>235000000</v>
      </c>
      <c r="E75" s="92"/>
      <c r="F75" s="10"/>
      <c r="G75" s="7">
        <f t="shared" si="22"/>
        <v>235000000</v>
      </c>
      <c r="H75" s="10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7">
        <f t="shared" si="23"/>
        <v>0</v>
      </c>
      <c r="U75" s="47"/>
      <c r="W75" s="54"/>
      <c r="X75" s="54"/>
      <c r="Y75" s="54"/>
    </row>
    <row r="76" spans="1:25" s="51" customFormat="1" x14ac:dyDescent="0.25">
      <c r="A76" s="29" t="s">
        <v>312</v>
      </c>
      <c r="B76" s="20" t="s">
        <v>314</v>
      </c>
      <c r="C76" s="7"/>
      <c r="D76" s="91">
        <v>787800000</v>
      </c>
      <c r="E76" s="92"/>
      <c r="F76" s="10"/>
      <c r="G76" s="7">
        <f t="shared" si="22"/>
        <v>787800000</v>
      </c>
      <c r="H76" s="10"/>
      <c r="I76" s="36"/>
      <c r="J76" s="36"/>
      <c r="K76" s="36"/>
      <c r="L76" s="36"/>
      <c r="M76" s="36"/>
      <c r="N76" s="36"/>
      <c r="O76" s="36">
        <v>18000000</v>
      </c>
      <c r="P76" s="36"/>
      <c r="Q76" s="36"/>
      <c r="R76" s="36">
        <v>10370000</v>
      </c>
      <c r="S76" s="36">
        <v>580802015</v>
      </c>
      <c r="T76" s="37">
        <f t="shared" si="23"/>
        <v>609172015</v>
      </c>
      <c r="U76" s="47"/>
      <c r="W76" s="54"/>
      <c r="X76" s="54"/>
      <c r="Y76" s="54"/>
    </row>
    <row r="77" spans="1:25" ht="15.75" x14ac:dyDescent="0.25">
      <c r="A77" s="30"/>
      <c r="B77" s="27" t="s">
        <v>293</v>
      </c>
      <c r="C77" s="31">
        <f>SUM(C70:C76)</f>
        <v>3515000000</v>
      </c>
      <c r="D77" s="31">
        <f>SUM(D70:D76)</f>
        <v>2788600000</v>
      </c>
      <c r="E77" s="31">
        <f>SUM(E70:E76)</f>
        <v>2788600000</v>
      </c>
      <c r="F77" s="31">
        <f t="shared" ref="F77:S77" si="24">SUM(F70:F76)</f>
        <v>0</v>
      </c>
      <c r="G77" s="31">
        <f t="shared" si="24"/>
        <v>3515000000</v>
      </c>
      <c r="H77" s="31">
        <f t="shared" si="24"/>
        <v>0</v>
      </c>
      <c r="I77" s="31">
        <f t="shared" si="24"/>
        <v>0</v>
      </c>
      <c r="J77" s="31">
        <f t="shared" si="24"/>
        <v>0</v>
      </c>
      <c r="K77" s="31">
        <f t="shared" si="24"/>
        <v>0</v>
      </c>
      <c r="L77" s="31">
        <f t="shared" si="24"/>
        <v>526400000</v>
      </c>
      <c r="M77" s="31">
        <f t="shared" si="24"/>
        <v>0</v>
      </c>
      <c r="N77" s="31">
        <f t="shared" si="24"/>
        <v>0</v>
      </c>
      <c r="O77" s="31">
        <f t="shared" si="24"/>
        <v>44800000</v>
      </c>
      <c r="P77" s="31">
        <f t="shared" si="24"/>
        <v>29500000</v>
      </c>
      <c r="Q77" s="31">
        <f t="shared" si="24"/>
        <v>6833333</v>
      </c>
      <c r="R77" s="31">
        <f t="shared" si="24"/>
        <v>563936257</v>
      </c>
      <c r="S77" s="31">
        <f t="shared" si="24"/>
        <v>1314487287</v>
      </c>
      <c r="T77" s="31">
        <f>SUM(T70:T76)</f>
        <v>2485956877</v>
      </c>
      <c r="V77" s="88"/>
      <c r="W77" s="54"/>
      <c r="X77" s="54"/>
      <c r="Y77" s="54"/>
    </row>
    <row r="78" spans="1:25" ht="19.5" x14ac:dyDescent="0.4">
      <c r="A78" s="109" t="s">
        <v>294</v>
      </c>
      <c r="B78" s="110"/>
      <c r="C78" s="32">
        <f>C62+C64+C77</f>
        <v>18492887272</v>
      </c>
      <c r="D78" s="32">
        <f t="shared" ref="D78:F78" si="25">D62+D64+D77</f>
        <v>3844400000</v>
      </c>
      <c r="E78" s="32">
        <f t="shared" si="25"/>
        <v>3844400000</v>
      </c>
      <c r="F78" s="32">
        <f t="shared" si="25"/>
        <v>0</v>
      </c>
      <c r="G78" s="32">
        <f>G62+G64+G77</f>
        <v>18492887272</v>
      </c>
      <c r="H78" s="89">
        <f>H62+H64+H77</f>
        <v>1034637853</v>
      </c>
      <c r="I78" s="89">
        <f>I62+I64+I77</f>
        <v>1661707857</v>
      </c>
      <c r="J78" s="89">
        <f t="shared" ref="J78:S78" si="26">+J62+J67+J77</f>
        <v>960059558</v>
      </c>
      <c r="K78" s="89">
        <f t="shared" si="26"/>
        <v>1194048325</v>
      </c>
      <c r="L78" s="89">
        <f t="shared" si="26"/>
        <v>1610491632</v>
      </c>
      <c r="M78" s="89">
        <f t="shared" si="26"/>
        <v>848005913</v>
      </c>
      <c r="N78" s="89">
        <f t="shared" si="26"/>
        <v>1187211323</v>
      </c>
      <c r="O78" s="89">
        <f t="shared" si="26"/>
        <v>942266667</v>
      </c>
      <c r="P78" s="89">
        <f t="shared" si="26"/>
        <v>1381074028</v>
      </c>
      <c r="Q78" s="89">
        <f t="shared" si="26"/>
        <v>1088704254</v>
      </c>
      <c r="R78" s="89">
        <f t="shared" si="26"/>
        <v>1372330058</v>
      </c>
      <c r="S78" s="89">
        <f t="shared" si="26"/>
        <v>2704454333</v>
      </c>
      <c r="T78" s="32">
        <f>T62+T64+T77</f>
        <v>15984991801</v>
      </c>
      <c r="V78" s="75"/>
      <c r="W78" s="54"/>
      <c r="X78" s="54"/>
      <c r="Y78" s="54"/>
    </row>
    <row r="79" spans="1:25" x14ac:dyDescent="0.25">
      <c r="P79" s="47"/>
      <c r="Q79" s="47"/>
      <c r="R79" s="47"/>
      <c r="S79" s="47"/>
    </row>
    <row r="80" spans="1:25" x14ac:dyDescent="0.25">
      <c r="D80" s="47"/>
      <c r="E80" s="47"/>
      <c r="G80" s="47"/>
      <c r="O80" s="47"/>
      <c r="P80" s="47"/>
      <c r="Q80" s="47"/>
      <c r="R80" s="47"/>
      <c r="S80" s="47"/>
      <c r="T80" s="47"/>
    </row>
    <row r="81" spans="23:28" x14ac:dyDescent="0.25">
      <c r="W81" s="117"/>
      <c r="X81" s="117"/>
      <c r="Y81" s="117"/>
      <c r="Z81" s="117"/>
      <c r="AB81" s="48"/>
    </row>
  </sheetData>
  <mergeCells count="22">
    <mergeCell ref="W81:X81"/>
    <mergeCell ref="Y81:Z81"/>
    <mergeCell ref="K1:K2"/>
    <mergeCell ref="T1:T2"/>
    <mergeCell ref="I1:I2"/>
    <mergeCell ref="J1:J2"/>
    <mergeCell ref="L1:L2"/>
    <mergeCell ref="M1:M2"/>
    <mergeCell ref="N1:N2"/>
    <mergeCell ref="O1:O2"/>
    <mergeCell ref="P1:P2"/>
    <mergeCell ref="Q1:Q2"/>
    <mergeCell ref="R1:R2"/>
    <mergeCell ref="S1:S2"/>
    <mergeCell ref="A78:B78"/>
    <mergeCell ref="D1:E1"/>
    <mergeCell ref="F1:F2"/>
    <mergeCell ref="G1:G2"/>
    <mergeCell ref="H1:H2"/>
    <mergeCell ref="A1:A2"/>
    <mergeCell ref="B1:B2"/>
    <mergeCell ref="C1:C2"/>
  </mergeCells>
  <pageMargins left="1.4960629921259843" right="0.70866141732283472" top="0.74803149606299213" bottom="0.74803149606299213" header="0.31496062992125984" footer="0.31496062992125984"/>
  <pageSetup paperSize="5" scale="65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EJEING 2024</vt:lpstr>
      <vt:lpstr>EJEGAS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Herazo</dc:creator>
  <cp:lastModifiedBy>Joaquin Herazo</cp:lastModifiedBy>
  <cp:lastPrinted>2025-02-26T12:49:29Z</cp:lastPrinted>
  <dcterms:created xsi:type="dcterms:W3CDTF">2024-02-16T20:27:18Z</dcterms:created>
  <dcterms:modified xsi:type="dcterms:W3CDTF">2025-03-17T21:39:46Z</dcterms:modified>
</cp:coreProperties>
</file>