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2175" windowWidth="15150" windowHeight="3540" tabRatio="876" activeTab="4"/>
  </bookViews>
  <sheets>
    <sheet name="Ppto Ejecutado 2016" sheetId="55" r:id="rId1"/>
    <sheet name="Ppto Detallado 2017" sheetId="56" r:id="rId2"/>
    <sheet name="Ppto Detallado 2016-2019" sheetId="3" r:id="rId3"/>
    <sheet name="Presupuesto Consolidado" sheetId="50" r:id="rId4"/>
    <sheet name="Cronograma" sheetId="51" r:id="rId5"/>
    <sheet name="Cotizaciones Materiales" sheetId="7" r:id="rId6"/>
    <sheet name="Cotizaciones Señalización" sheetId="29" r:id="rId7"/>
    <sheet name="Anexo A.I.U." sheetId="52" r:id="rId8"/>
    <sheet name="A.I.U. Obra Señal. Vert." sheetId="48" r:id="rId9"/>
    <sheet name="A.P.U. Señal Vertical" sheetId="12" r:id="rId10"/>
    <sheet name="A.P.U. Mtto Señal Vert." sheetId="53" r:id="rId11"/>
    <sheet name="Mano Obra 2016" sheetId="42" r:id="rId12"/>
    <sheet name="Interventoría Señalización Vert" sheetId="46" r:id="rId13"/>
    <sheet name="Factor Mult. 2.10" sheetId="44" r:id="rId14"/>
  </sheets>
  <externalReferences>
    <externalReference r:id="rId15"/>
    <externalReference r:id="rId16"/>
  </externalReferences>
  <definedNames>
    <definedName name="_cie1" localSheetId="10">#REF!</definedName>
    <definedName name="_cie1" localSheetId="7">#REF!</definedName>
    <definedName name="_cie1" localSheetId="12">#REF!</definedName>
    <definedName name="_cie1" localSheetId="1">#REF!</definedName>
    <definedName name="_cie1" localSheetId="0">#REF!</definedName>
    <definedName name="_cie1">#REF!</definedName>
    <definedName name="_cie2" localSheetId="10">#REF!</definedName>
    <definedName name="_cie2" localSheetId="7">#REF!</definedName>
    <definedName name="_cie2" localSheetId="12">#REF!</definedName>
    <definedName name="_cie2" localSheetId="1">#REF!</definedName>
    <definedName name="_cie2" localSheetId="0">#REF!</definedName>
    <definedName name="_cie2">#REF!</definedName>
    <definedName name="_cie3" localSheetId="10">#REF!</definedName>
    <definedName name="_cie3" localSheetId="7">#REF!</definedName>
    <definedName name="_cie3" localSheetId="12">#REF!</definedName>
    <definedName name="_cie3" localSheetId="1">#REF!</definedName>
    <definedName name="_cie3" localSheetId="0">#REF!</definedName>
    <definedName name="_cie3">#REF!</definedName>
    <definedName name="_cie4" localSheetId="10">#REF!</definedName>
    <definedName name="_cie4" localSheetId="7">#REF!</definedName>
    <definedName name="_cie4" localSheetId="12">#REF!</definedName>
    <definedName name="_cie4" localSheetId="1">#REF!</definedName>
    <definedName name="_cie4" localSheetId="0">#REF!</definedName>
    <definedName name="_cie4">#REF!</definedName>
    <definedName name="_cie5" localSheetId="10">#REF!</definedName>
    <definedName name="_cie5" localSheetId="7">#REF!</definedName>
    <definedName name="_cie5" localSheetId="12">#REF!</definedName>
    <definedName name="_cie5" localSheetId="1">#REF!</definedName>
    <definedName name="_cie5" localSheetId="0">#REF!</definedName>
    <definedName name="_cie5">#REF!</definedName>
    <definedName name="_cie6" localSheetId="10">#REF!</definedName>
    <definedName name="_cie6" localSheetId="7">#REF!</definedName>
    <definedName name="_cie6" localSheetId="12">#REF!</definedName>
    <definedName name="_cie6" localSheetId="1">#REF!</definedName>
    <definedName name="_cie6" localSheetId="0">#REF!</definedName>
    <definedName name="_cie6">#REF!</definedName>
    <definedName name="Acomet_pvc_1_2_estrato_2" localSheetId="10">#REF!</definedName>
    <definedName name="Acomet_pvc_1_2_estrato_2" localSheetId="7">#REF!</definedName>
    <definedName name="Acomet_pvc_1_2_estrato_2" localSheetId="12">#REF!</definedName>
    <definedName name="Acomet_pvc_1_2_estrato_2" localSheetId="1">#REF!</definedName>
    <definedName name="Acomet_pvc_1_2_estrato_2" localSheetId="0">#REF!</definedName>
    <definedName name="Acomet_pvc_1_2_estrato_2">#REF!</definedName>
    <definedName name="Acomet_pvc_1_2_estrato_2a" localSheetId="10">#REF!</definedName>
    <definedName name="Acomet_pvc_1_2_estrato_2a" localSheetId="7">#REF!</definedName>
    <definedName name="Acomet_pvc_1_2_estrato_2a" localSheetId="12">#REF!</definedName>
    <definedName name="Acomet_pvc_1_2_estrato_2a" localSheetId="1">#REF!</definedName>
    <definedName name="Acomet_pvc_1_2_estrato_2a" localSheetId="0">#REF!</definedName>
    <definedName name="Acomet_pvc_1_2_estrato_2a">#REF!</definedName>
    <definedName name="Acomet_pvc_1_2_estrato_3" localSheetId="10">#REF!</definedName>
    <definedName name="Acomet_pvc_1_2_estrato_3" localSheetId="7">#REF!</definedName>
    <definedName name="Acomet_pvc_1_2_estrato_3" localSheetId="12">#REF!</definedName>
    <definedName name="Acomet_pvc_1_2_estrato_3" localSheetId="1">#REF!</definedName>
    <definedName name="Acomet_pvc_1_2_estrato_3" localSheetId="0">#REF!</definedName>
    <definedName name="Acomet_pvc_1_2_estrato_3">#REF!</definedName>
    <definedName name="Acomet_pvc_1_2_estrato_4" localSheetId="10">#REF!</definedName>
    <definedName name="Acomet_pvc_1_2_estrato_4" localSheetId="7">#REF!</definedName>
    <definedName name="Acomet_pvc_1_2_estrato_4" localSheetId="12">#REF!</definedName>
    <definedName name="Acomet_pvc_1_2_estrato_4" localSheetId="1">#REF!</definedName>
    <definedName name="Acomet_pvc_1_2_estrato_4" localSheetId="0">#REF!</definedName>
    <definedName name="Acomet_pvc_1_2_estrato_4">#REF!</definedName>
    <definedName name="Acomet_pvc_3_4_estrato_1" localSheetId="10">#REF!</definedName>
    <definedName name="Acomet_pvc_3_4_estrato_1" localSheetId="7">#REF!</definedName>
    <definedName name="Acomet_pvc_3_4_estrato_1" localSheetId="12">#REF!</definedName>
    <definedName name="Acomet_pvc_3_4_estrato_1" localSheetId="1">#REF!</definedName>
    <definedName name="Acomet_pvc_3_4_estrato_1" localSheetId="0">#REF!</definedName>
    <definedName name="Acomet_pvc_3_4_estrato_1">#REF!</definedName>
    <definedName name="Acomet_pvc_3_4_estrato_2" localSheetId="10">#REF!</definedName>
    <definedName name="Acomet_pvc_3_4_estrato_2" localSheetId="7">#REF!</definedName>
    <definedName name="Acomet_pvc_3_4_estrato_2" localSheetId="12">#REF!</definedName>
    <definedName name="Acomet_pvc_3_4_estrato_2" localSheetId="1">#REF!</definedName>
    <definedName name="Acomet_pvc_3_4_estrato_2" localSheetId="0">#REF!</definedName>
    <definedName name="Acomet_pvc_3_4_estrato_2">#REF!</definedName>
    <definedName name="Acomet_pvc_3_4_estrato_3" localSheetId="10">#REF!</definedName>
    <definedName name="Acomet_pvc_3_4_estrato_3" localSheetId="7">#REF!</definedName>
    <definedName name="Acomet_pvc_3_4_estrato_3" localSheetId="12">#REF!</definedName>
    <definedName name="Acomet_pvc_3_4_estrato_3" localSheetId="1">#REF!</definedName>
    <definedName name="Acomet_pvc_3_4_estrato_3" localSheetId="0">#REF!</definedName>
    <definedName name="Acomet_pvc_3_4_estrato_3">#REF!</definedName>
    <definedName name="Acomet_pvc_3_4_estrato_4" localSheetId="10">#REF!</definedName>
    <definedName name="Acomet_pvc_3_4_estrato_4" localSheetId="7">#REF!</definedName>
    <definedName name="Acomet_pvc_3_4_estrato_4" localSheetId="12">#REF!</definedName>
    <definedName name="Acomet_pvc_3_4_estrato_4" localSheetId="1">#REF!</definedName>
    <definedName name="Acomet_pvc_3_4_estrato_4" localSheetId="0">#REF!</definedName>
    <definedName name="Acomet_pvc_3_4_estrato_4">#REF!</definedName>
    <definedName name="ADM" localSheetId="6">[1]PERSOADMIN!$A$2:$A$5</definedName>
    <definedName name="ADM">[1]PERSOADMIN!$A$2:$A$5</definedName>
    <definedName name="Anden_concret_e0.10" localSheetId="10">#REF!</definedName>
    <definedName name="Anden_concret_e0.10" localSheetId="7">#REF!</definedName>
    <definedName name="Anden_concret_e0.10" localSheetId="12">#REF!</definedName>
    <definedName name="Anden_concret_e0.10" localSheetId="1">#REF!</definedName>
    <definedName name="Anden_concret_e0.10" localSheetId="0">#REF!</definedName>
    <definedName name="Anden_concret_e0.10">#REF!</definedName>
    <definedName name="apasanit10" localSheetId="10">#REF!</definedName>
    <definedName name="apasanit10" localSheetId="7">#REF!</definedName>
    <definedName name="apasanit10" localSheetId="12">#REF!</definedName>
    <definedName name="apasanit10" localSheetId="1">#REF!</definedName>
    <definedName name="apasanit10" localSheetId="0">#REF!</definedName>
    <definedName name="apasanit10">#REF!</definedName>
    <definedName name="apasanit11" localSheetId="10">#REF!</definedName>
    <definedName name="apasanit11" localSheetId="7">#REF!</definedName>
    <definedName name="apasanit11" localSheetId="12">#REF!</definedName>
    <definedName name="apasanit11" localSheetId="1">#REF!</definedName>
    <definedName name="apasanit11" localSheetId="0">#REF!</definedName>
    <definedName name="apasanit11">#REF!</definedName>
    <definedName name="apasanit12" localSheetId="10">#REF!</definedName>
    <definedName name="apasanit12" localSheetId="7">#REF!</definedName>
    <definedName name="apasanit12" localSheetId="12">#REF!</definedName>
    <definedName name="apasanit12" localSheetId="1">#REF!</definedName>
    <definedName name="apasanit12" localSheetId="0">#REF!</definedName>
    <definedName name="apasanit12">#REF!</definedName>
    <definedName name="apasanit13" localSheetId="10">#REF!</definedName>
    <definedName name="apasanit13" localSheetId="7">#REF!</definedName>
    <definedName name="apasanit13" localSheetId="12">#REF!</definedName>
    <definedName name="apasanit13" localSheetId="1">#REF!</definedName>
    <definedName name="apasanit13" localSheetId="0">#REF!</definedName>
    <definedName name="apasanit13">#REF!</definedName>
    <definedName name="apasanit14" localSheetId="10">#REF!</definedName>
    <definedName name="apasanit14" localSheetId="7">#REF!</definedName>
    <definedName name="apasanit14" localSheetId="12">#REF!</definedName>
    <definedName name="apasanit14" localSheetId="1">#REF!</definedName>
    <definedName name="apasanit14" localSheetId="0">#REF!</definedName>
    <definedName name="apasanit14">#REF!</definedName>
    <definedName name="apasanit15" localSheetId="10">#REF!</definedName>
    <definedName name="apasanit15" localSheetId="7">#REF!</definedName>
    <definedName name="apasanit15" localSheetId="12">#REF!</definedName>
    <definedName name="apasanit15" localSheetId="1">#REF!</definedName>
    <definedName name="apasanit15" localSheetId="0">#REF!</definedName>
    <definedName name="apasanit15">#REF!</definedName>
    <definedName name="apasanit16" localSheetId="10">#REF!</definedName>
    <definedName name="apasanit16" localSheetId="7">#REF!</definedName>
    <definedName name="apasanit16" localSheetId="12">#REF!</definedName>
    <definedName name="apasanit16" localSheetId="1">#REF!</definedName>
    <definedName name="apasanit16" localSheetId="0">#REF!</definedName>
    <definedName name="apasanit16">#REF!</definedName>
    <definedName name="apasanit17" localSheetId="10">#REF!</definedName>
    <definedName name="apasanit17" localSheetId="7">#REF!</definedName>
    <definedName name="apasanit17" localSheetId="12">#REF!</definedName>
    <definedName name="apasanit17" localSheetId="1">#REF!</definedName>
    <definedName name="apasanit17" localSheetId="0">#REF!</definedName>
    <definedName name="apasanit17">#REF!</definedName>
    <definedName name="apasanit18" localSheetId="10">#REF!</definedName>
    <definedName name="apasanit18" localSheetId="7">#REF!</definedName>
    <definedName name="apasanit18" localSheetId="12">#REF!</definedName>
    <definedName name="apasanit18" localSheetId="1">#REF!</definedName>
    <definedName name="apasanit18" localSheetId="0">#REF!</definedName>
    <definedName name="apasanit18">#REF!</definedName>
    <definedName name="apasanit19" localSheetId="10">#REF!</definedName>
    <definedName name="apasanit19" localSheetId="7">#REF!</definedName>
    <definedName name="apasanit19" localSheetId="12">#REF!</definedName>
    <definedName name="apasanit19" localSheetId="1">#REF!</definedName>
    <definedName name="apasanit19" localSheetId="0">#REF!</definedName>
    <definedName name="apasanit19">#REF!</definedName>
    <definedName name="apasanit2" localSheetId="10">#REF!</definedName>
    <definedName name="apasanit2" localSheetId="7">#REF!</definedName>
    <definedName name="apasanit2" localSheetId="12">#REF!</definedName>
    <definedName name="apasanit2" localSheetId="1">#REF!</definedName>
    <definedName name="apasanit2" localSheetId="0">#REF!</definedName>
    <definedName name="apasanit2">#REF!</definedName>
    <definedName name="apasanit20" localSheetId="10">#REF!</definedName>
    <definedName name="apasanit20" localSheetId="7">#REF!</definedName>
    <definedName name="apasanit20" localSheetId="12">#REF!</definedName>
    <definedName name="apasanit20" localSheetId="1">#REF!</definedName>
    <definedName name="apasanit20" localSheetId="0">#REF!</definedName>
    <definedName name="apasanit20">#REF!</definedName>
    <definedName name="apasanit3" localSheetId="10">#REF!</definedName>
    <definedName name="apasanit3" localSheetId="7">#REF!</definedName>
    <definedName name="apasanit3" localSheetId="12">#REF!</definedName>
    <definedName name="apasanit3" localSheetId="1">#REF!</definedName>
    <definedName name="apasanit3" localSheetId="0">#REF!</definedName>
    <definedName name="apasanit3">#REF!</definedName>
    <definedName name="apasanit4" localSheetId="10">#REF!</definedName>
    <definedName name="apasanit4" localSheetId="7">#REF!</definedName>
    <definedName name="apasanit4" localSheetId="12">#REF!</definedName>
    <definedName name="apasanit4" localSheetId="1">#REF!</definedName>
    <definedName name="apasanit4" localSheetId="0">#REF!</definedName>
    <definedName name="apasanit4">#REF!</definedName>
    <definedName name="apasanit5" localSheetId="10">#REF!</definedName>
    <definedName name="apasanit5" localSheetId="7">#REF!</definedName>
    <definedName name="apasanit5" localSheetId="12">#REF!</definedName>
    <definedName name="apasanit5" localSheetId="1">#REF!</definedName>
    <definedName name="apasanit5" localSheetId="0">#REF!</definedName>
    <definedName name="apasanit5">#REF!</definedName>
    <definedName name="apasanit6" localSheetId="10">#REF!</definedName>
    <definedName name="apasanit6" localSheetId="7">#REF!</definedName>
    <definedName name="apasanit6" localSheetId="12">#REF!</definedName>
    <definedName name="apasanit6" localSheetId="1">#REF!</definedName>
    <definedName name="apasanit6" localSheetId="0">#REF!</definedName>
    <definedName name="apasanit6">#REF!</definedName>
    <definedName name="apasanit7" localSheetId="10">#REF!</definedName>
    <definedName name="apasanit7" localSheetId="7">#REF!</definedName>
    <definedName name="apasanit7" localSheetId="12">#REF!</definedName>
    <definedName name="apasanit7" localSheetId="1">#REF!</definedName>
    <definedName name="apasanit7" localSheetId="0">#REF!</definedName>
    <definedName name="apasanit7">#REF!</definedName>
    <definedName name="apasanit8" localSheetId="10">#REF!</definedName>
    <definedName name="apasanit8" localSheetId="7">#REF!</definedName>
    <definedName name="apasanit8" localSheetId="12">#REF!</definedName>
    <definedName name="apasanit8" localSheetId="1">#REF!</definedName>
    <definedName name="apasanit8" localSheetId="0">#REF!</definedName>
    <definedName name="apasanit8">#REF!</definedName>
    <definedName name="apasanit9" localSheetId="10">#REF!</definedName>
    <definedName name="apasanit9" localSheetId="7">#REF!</definedName>
    <definedName name="apasanit9" localSheetId="12">#REF!</definedName>
    <definedName name="apasanit9" localSheetId="1">#REF!</definedName>
    <definedName name="apasanit9" localSheetId="0">#REF!</definedName>
    <definedName name="apasanit9">#REF!</definedName>
    <definedName name="AUX" localSheetId="6">[1]AUXILIARTEC!$A$2:$A$4</definedName>
    <definedName name="AUX">[1]AUXILIARTEC!$A$2:$A$4</definedName>
    <definedName name="carpmad10" localSheetId="10">#REF!</definedName>
    <definedName name="carpmad10" localSheetId="7">#REF!</definedName>
    <definedName name="carpmad10" localSheetId="12">#REF!</definedName>
    <definedName name="carpmad10" localSheetId="1">#REF!</definedName>
    <definedName name="carpmad10" localSheetId="0">#REF!</definedName>
    <definedName name="carpmad10">#REF!</definedName>
    <definedName name="carpmad11" localSheetId="10">#REF!</definedName>
    <definedName name="carpmad11" localSheetId="7">#REF!</definedName>
    <definedName name="carpmad11" localSheetId="12">#REF!</definedName>
    <definedName name="carpmad11" localSheetId="1">#REF!</definedName>
    <definedName name="carpmad11" localSheetId="0">#REF!</definedName>
    <definedName name="carpmad11">#REF!</definedName>
    <definedName name="carpmad12" localSheetId="10">#REF!</definedName>
    <definedName name="carpmad12" localSheetId="7">#REF!</definedName>
    <definedName name="carpmad12" localSheetId="12">#REF!</definedName>
    <definedName name="carpmad12" localSheetId="1">#REF!</definedName>
    <definedName name="carpmad12" localSheetId="0">#REF!</definedName>
    <definedName name="carpmad12">#REF!</definedName>
    <definedName name="carpmad13" localSheetId="10">#REF!</definedName>
    <definedName name="carpmad13" localSheetId="7">#REF!</definedName>
    <definedName name="carpmad13" localSheetId="12">#REF!</definedName>
    <definedName name="carpmad13" localSheetId="1">#REF!</definedName>
    <definedName name="carpmad13" localSheetId="0">#REF!</definedName>
    <definedName name="carpmad13">#REF!</definedName>
    <definedName name="carpmad14" localSheetId="10">#REF!</definedName>
    <definedName name="carpmad14" localSheetId="7">#REF!</definedName>
    <definedName name="carpmad14" localSheetId="12">#REF!</definedName>
    <definedName name="carpmad14" localSheetId="1">#REF!</definedName>
    <definedName name="carpmad14" localSheetId="0">#REF!</definedName>
    <definedName name="carpmad14">#REF!</definedName>
    <definedName name="carpmad15" localSheetId="10">#REF!</definedName>
    <definedName name="carpmad15" localSheetId="7">#REF!</definedName>
    <definedName name="carpmad15" localSheetId="12">#REF!</definedName>
    <definedName name="carpmad15" localSheetId="1">#REF!</definedName>
    <definedName name="carpmad15" localSheetId="0">#REF!</definedName>
    <definedName name="carpmad15">#REF!</definedName>
    <definedName name="carpmad16" localSheetId="10">#REF!</definedName>
    <definedName name="carpmad16" localSheetId="7">#REF!</definedName>
    <definedName name="carpmad16" localSheetId="12">#REF!</definedName>
    <definedName name="carpmad16" localSheetId="1">#REF!</definedName>
    <definedName name="carpmad16" localSheetId="0">#REF!</definedName>
    <definedName name="carpmad16">#REF!</definedName>
    <definedName name="carpmad2" localSheetId="10">#REF!</definedName>
    <definedName name="carpmad2" localSheetId="7">#REF!</definedName>
    <definedName name="carpmad2" localSheetId="12">#REF!</definedName>
    <definedName name="carpmad2" localSheetId="1">#REF!</definedName>
    <definedName name="carpmad2" localSheetId="0">#REF!</definedName>
    <definedName name="carpmad2">#REF!</definedName>
    <definedName name="carpmad3" localSheetId="10">#REF!</definedName>
    <definedName name="carpmad3" localSheetId="7">#REF!</definedName>
    <definedName name="carpmad3" localSheetId="12">#REF!</definedName>
    <definedName name="carpmad3" localSheetId="1">#REF!</definedName>
    <definedName name="carpmad3" localSheetId="0">#REF!</definedName>
    <definedName name="carpmad3">#REF!</definedName>
    <definedName name="carpmad4" localSheetId="10">#REF!</definedName>
    <definedName name="carpmad4" localSheetId="7">#REF!</definedName>
    <definedName name="carpmad4" localSheetId="12">#REF!</definedName>
    <definedName name="carpmad4" localSheetId="1">#REF!</definedName>
    <definedName name="carpmad4" localSheetId="0">#REF!</definedName>
    <definedName name="carpmad4">#REF!</definedName>
    <definedName name="carpmad5" localSheetId="10">#REF!</definedName>
    <definedName name="carpmad5" localSheetId="7">#REF!</definedName>
    <definedName name="carpmad5" localSheetId="12">#REF!</definedName>
    <definedName name="carpmad5" localSheetId="1">#REF!</definedName>
    <definedName name="carpmad5" localSheetId="0">#REF!</definedName>
    <definedName name="carpmad5">#REF!</definedName>
    <definedName name="carpmad6" localSheetId="10">#REF!</definedName>
    <definedName name="carpmad6" localSheetId="7">#REF!</definedName>
    <definedName name="carpmad6" localSheetId="12">#REF!</definedName>
    <definedName name="carpmad6" localSheetId="1">#REF!</definedName>
    <definedName name="carpmad6" localSheetId="0">#REF!</definedName>
    <definedName name="carpmad6">#REF!</definedName>
    <definedName name="carpmad7" localSheetId="10">#REF!</definedName>
    <definedName name="carpmad7" localSheetId="7">#REF!</definedName>
    <definedName name="carpmad7" localSheetId="12">#REF!</definedName>
    <definedName name="carpmad7" localSheetId="1">#REF!</definedName>
    <definedName name="carpmad7" localSheetId="0">#REF!</definedName>
    <definedName name="carpmad7">#REF!</definedName>
    <definedName name="carpmad8" localSheetId="10">#REF!</definedName>
    <definedName name="carpmad8" localSheetId="7">#REF!</definedName>
    <definedName name="carpmad8" localSheetId="12">#REF!</definedName>
    <definedName name="carpmad8" localSheetId="1">#REF!</definedName>
    <definedName name="carpmad8" localSheetId="0">#REF!</definedName>
    <definedName name="carpmad8">#REF!</definedName>
    <definedName name="carpmad9" localSheetId="10">#REF!</definedName>
    <definedName name="carpmad9" localSheetId="7">#REF!</definedName>
    <definedName name="carpmad9" localSheetId="12">#REF!</definedName>
    <definedName name="carpmad9" localSheetId="1">#REF!</definedName>
    <definedName name="carpmad9" localSheetId="0">#REF!</definedName>
    <definedName name="carpmad9">#REF!</definedName>
    <definedName name="carpmet1" localSheetId="10">#REF!</definedName>
    <definedName name="carpmet1" localSheetId="7">#REF!</definedName>
    <definedName name="carpmet1" localSheetId="12">#REF!</definedName>
    <definedName name="carpmet1" localSheetId="1">#REF!</definedName>
    <definedName name="carpmet1" localSheetId="0">#REF!</definedName>
    <definedName name="carpmet1">#REF!</definedName>
    <definedName name="carpmet10" localSheetId="10">#REF!</definedName>
    <definedName name="carpmet10" localSheetId="7">#REF!</definedName>
    <definedName name="carpmet10" localSheetId="12">#REF!</definedName>
    <definedName name="carpmet10" localSheetId="1">#REF!</definedName>
    <definedName name="carpmet10" localSheetId="0">#REF!</definedName>
    <definedName name="carpmet10">#REF!</definedName>
    <definedName name="carpmet11" localSheetId="10">#REF!</definedName>
    <definedName name="carpmet11" localSheetId="7">#REF!</definedName>
    <definedName name="carpmet11" localSheetId="12">#REF!</definedName>
    <definedName name="carpmet11" localSheetId="1">#REF!</definedName>
    <definedName name="carpmet11" localSheetId="0">#REF!</definedName>
    <definedName name="carpmet11">#REF!</definedName>
    <definedName name="carpmet12" localSheetId="10">#REF!</definedName>
    <definedName name="carpmet12" localSheetId="7">#REF!</definedName>
    <definedName name="carpmet12" localSheetId="12">#REF!</definedName>
    <definedName name="carpmet12" localSheetId="1">#REF!</definedName>
    <definedName name="carpmet12" localSheetId="0">#REF!</definedName>
    <definedName name="carpmet12">#REF!</definedName>
    <definedName name="carpmet13" localSheetId="10">#REF!</definedName>
    <definedName name="carpmet13" localSheetId="7">#REF!</definedName>
    <definedName name="carpmet13" localSheetId="12">#REF!</definedName>
    <definedName name="carpmet13" localSheetId="1">#REF!</definedName>
    <definedName name="carpmet13" localSheetId="0">#REF!</definedName>
    <definedName name="carpmet13">#REF!</definedName>
    <definedName name="carpmet14" localSheetId="10">#REF!</definedName>
    <definedName name="carpmet14" localSheetId="7">#REF!</definedName>
    <definedName name="carpmet14" localSheetId="12">#REF!</definedName>
    <definedName name="carpmet14" localSheetId="1">#REF!</definedName>
    <definedName name="carpmet14" localSheetId="0">#REF!</definedName>
    <definedName name="carpmet14">#REF!</definedName>
    <definedName name="carpmet15" localSheetId="10">#REF!</definedName>
    <definedName name="carpmet15" localSheetId="7">#REF!</definedName>
    <definedName name="carpmet15" localSheetId="12">#REF!</definedName>
    <definedName name="carpmet15" localSheetId="1">#REF!</definedName>
    <definedName name="carpmet15" localSheetId="0">#REF!</definedName>
    <definedName name="carpmet15">#REF!</definedName>
    <definedName name="carpmet16" localSheetId="10">#REF!</definedName>
    <definedName name="carpmet16" localSheetId="7">#REF!</definedName>
    <definedName name="carpmet16" localSheetId="12">#REF!</definedName>
    <definedName name="carpmet16" localSheetId="1">#REF!</definedName>
    <definedName name="carpmet16" localSheetId="0">#REF!</definedName>
    <definedName name="carpmet16">#REF!</definedName>
    <definedName name="carpmet17" localSheetId="10">#REF!</definedName>
    <definedName name="carpmet17" localSheetId="7">#REF!</definedName>
    <definedName name="carpmet17" localSheetId="12">#REF!</definedName>
    <definedName name="carpmet17" localSheetId="1">#REF!</definedName>
    <definedName name="carpmet17" localSheetId="0">#REF!</definedName>
    <definedName name="carpmet17">#REF!</definedName>
    <definedName name="carpmet18" localSheetId="10">#REF!</definedName>
    <definedName name="carpmet18" localSheetId="7">#REF!</definedName>
    <definedName name="carpmet18" localSheetId="12">#REF!</definedName>
    <definedName name="carpmet18" localSheetId="1">#REF!</definedName>
    <definedName name="carpmet18" localSheetId="0">#REF!</definedName>
    <definedName name="carpmet18">#REF!</definedName>
    <definedName name="carpmet19" localSheetId="10">#REF!</definedName>
    <definedName name="carpmet19" localSheetId="7">#REF!</definedName>
    <definedName name="carpmet19" localSheetId="12">#REF!</definedName>
    <definedName name="carpmet19" localSheetId="1">#REF!</definedName>
    <definedName name="carpmet19" localSheetId="0">#REF!</definedName>
    <definedName name="carpmet19">#REF!</definedName>
    <definedName name="carpmet2" localSheetId="10">#REF!</definedName>
    <definedName name="carpmet2" localSheetId="7">#REF!</definedName>
    <definedName name="carpmet2" localSheetId="12">#REF!</definedName>
    <definedName name="carpmet2" localSheetId="1">#REF!</definedName>
    <definedName name="carpmet2" localSheetId="0">#REF!</definedName>
    <definedName name="carpmet2">#REF!</definedName>
    <definedName name="carpmet20" localSheetId="10">#REF!</definedName>
    <definedName name="carpmet20" localSheetId="7">#REF!</definedName>
    <definedName name="carpmet20" localSheetId="12">#REF!</definedName>
    <definedName name="carpmet20" localSheetId="1">#REF!</definedName>
    <definedName name="carpmet20" localSheetId="0">#REF!</definedName>
    <definedName name="carpmet20">#REF!</definedName>
    <definedName name="carpmet21" localSheetId="10">#REF!</definedName>
    <definedName name="carpmet21" localSheetId="7">#REF!</definedName>
    <definedName name="carpmet21" localSheetId="12">#REF!</definedName>
    <definedName name="carpmet21" localSheetId="1">#REF!</definedName>
    <definedName name="carpmet21" localSheetId="0">#REF!</definedName>
    <definedName name="carpmet21">#REF!</definedName>
    <definedName name="carpmet22" localSheetId="10">#REF!</definedName>
    <definedName name="carpmet22" localSheetId="7">#REF!</definedName>
    <definedName name="carpmet22" localSheetId="12">#REF!</definedName>
    <definedName name="carpmet22" localSheetId="1">#REF!</definedName>
    <definedName name="carpmet22" localSheetId="0">#REF!</definedName>
    <definedName name="carpmet22">#REF!</definedName>
    <definedName name="carpmet3" localSheetId="10">#REF!</definedName>
    <definedName name="carpmet3" localSheetId="7">#REF!</definedName>
    <definedName name="carpmet3" localSheetId="12">#REF!</definedName>
    <definedName name="carpmet3" localSheetId="1">#REF!</definedName>
    <definedName name="carpmet3" localSheetId="0">#REF!</definedName>
    <definedName name="carpmet3">#REF!</definedName>
    <definedName name="carpmet4" localSheetId="10">#REF!</definedName>
    <definedName name="carpmet4" localSheetId="7">#REF!</definedName>
    <definedName name="carpmet4" localSheetId="12">#REF!</definedName>
    <definedName name="carpmet4" localSheetId="1">#REF!</definedName>
    <definedName name="carpmet4" localSheetId="0">#REF!</definedName>
    <definedName name="carpmet4">#REF!</definedName>
    <definedName name="carpmet5" localSheetId="10">#REF!</definedName>
    <definedName name="carpmet5" localSheetId="7">#REF!</definedName>
    <definedName name="carpmet5" localSheetId="12">#REF!</definedName>
    <definedName name="carpmet5" localSheetId="1">#REF!</definedName>
    <definedName name="carpmet5" localSheetId="0">#REF!</definedName>
    <definedName name="carpmet5">#REF!</definedName>
    <definedName name="carpmet6" localSheetId="10">#REF!</definedName>
    <definedName name="carpmet6" localSheetId="7">#REF!</definedName>
    <definedName name="carpmet6" localSheetId="12">#REF!</definedName>
    <definedName name="carpmet6" localSheetId="1">#REF!</definedName>
    <definedName name="carpmet6" localSheetId="0">#REF!</definedName>
    <definedName name="carpmet6">#REF!</definedName>
    <definedName name="carpmet7" localSheetId="10">#REF!</definedName>
    <definedName name="carpmet7" localSheetId="7">#REF!</definedName>
    <definedName name="carpmet7" localSheetId="12">#REF!</definedName>
    <definedName name="carpmet7" localSheetId="1">#REF!</definedName>
    <definedName name="carpmet7" localSheetId="0">#REF!</definedName>
    <definedName name="carpmet7">#REF!</definedName>
    <definedName name="carpmet8" localSheetId="10">#REF!</definedName>
    <definedName name="carpmet8" localSheetId="7">#REF!</definedName>
    <definedName name="carpmet8" localSheetId="12">#REF!</definedName>
    <definedName name="carpmet8" localSheetId="1">#REF!</definedName>
    <definedName name="carpmet8" localSheetId="0">#REF!</definedName>
    <definedName name="carpmet8">#REF!</definedName>
    <definedName name="carpmet9" localSheetId="10">#REF!</definedName>
    <definedName name="carpmet9" localSheetId="7">#REF!</definedName>
    <definedName name="carpmet9" localSheetId="12">#REF!</definedName>
    <definedName name="carpmet9" localSheetId="1">#REF!</definedName>
    <definedName name="carpmet9" localSheetId="0">#REF!</definedName>
    <definedName name="carpmet9">#REF!</definedName>
    <definedName name="carpmetal1" localSheetId="10">#REF!</definedName>
    <definedName name="carpmetal1" localSheetId="7">#REF!</definedName>
    <definedName name="carpmetal1" localSheetId="12">#REF!</definedName>
    <definedName name="carpmetal1" localSheetId="1">#REF!</definedName>
    <definedName name="carpmetal1" localSheetId="0">#REF!</definedName>
    <definedName name="carpmetal1">#REF!</definedName>
    <definedName name="CAT" localSheetId="6">[1]DIRECTVOS!$A$2:$A$9</definedName>
    <definedName name="CAT">[1]DIRECTVOS!$A$2:$A$9</definedName>
    <definedName name="Columna_0.20x0.36" localSheetId="10">#REF!</definedName>
    <definedName name="Columna_0.20x0.36" localSheetId="7">#REF!</definedName>
    <definedName name="Columna_0.20x0.36" localSheetId="12">#REF!</definedName>
    <definedName name="Columna_0.20x0.36" localSheetId="1">#REF!</definedName>
    <definedName name="Columna_0.20x0.36" localSheetId="0">#REF!</definedName>
    <definedName name="Columna_0.20x0.36">#REF!</definedName>
    <definedName name="Columna_0.25x0.25m" localSheetId="10">#REF!</definedName>
    <definedName name="Columna_0.25x0.25m" localSheetId="7">#REF!</definedName>
    <definedName name="Columna_0.25x0.25m" localSheetId="12">#REF!</definedName>
    <definedName name="Columna_0.25x0.25m" localSheetId="1">#REF!</definedName>
    <definedName name="Columna_0.25x0.25m" localSheetId="0">#REF!</definedName>
    <definedName name="Columna_0.25x0.25m">#REF!</definedName>
    <definedName name="Columna_0.25x0.30m" localSheetId="10">#REF!</definedName>
    <definedName name="Columna_0.25x0.30m" localSheetId="7">#REF!</definedName>
    <definedName name="Columna_0.25x0.30m" localSheetId="12">#REF!</definedName>
    <definedName name="Columna_0.25x0.30m" localSheetId="1">#REF!</definedName>
    <definedName name="Columna_0.25x0.30m" localSheetId="0">#REF!</definedName>
    <definedName name="Columna_0.25x0.30m">#REF!</definedName>
    <definedName name="Columna_0.25x0.30m_6" localSheetId="10">#REF!</definedName>
    <definedName name="Columna_0.25x0.30m_6" localSheetId="7">#REF!</definedName>
    <definedName name="Columna_0.25x0.30m_6" localSheetId="12">#REF!</definedName>
    <definedName name="Columna_0.25x0.30m_6" localSheetId="1">#REF!</definedName>
    <definedName name="Columna_0.25x0.30m_6" localSheetId="0">#REF!</definedName>
    <definedName name="Columna_0.25x0.30m_6">#REF!</definedName>
    <definedName name="Columna_0.45x0.30_1_2" localSheetId="10">#REF!</definedName>
    <definedName name="Columna_0.45x0.30_1_2" localSheetId="7">#REF!</definedName>
    <definedName name="Columna_0.45x0.30_1_2" localSheetId="12">#REF!</definedName>
    <definedName name="Columna_0.45x0.30_1_2" localSheetId="1">#REF!</definedName>
    <definedName name="Columna_0.45x0.30_1_2" localSheetId="0">#REF!</definedName>
    <definedName name="Columna_0.45x0.30_1_2">#REF!</definedName>
    <definedName name="Columna_0.45x0.30m" localSheetId="10">#REF!</definedName>
    <definedName name="Columna_0.45x0.30m" localSheetId="7">#REF!</definedName>
    <definedName name="Columna_0.45x0.30m" localSheetId="12">#REF!</definedName>
    <definedName name="Columna_0.45x0.30m" localSheetId="1">#REF!</definedName>
    <definedName name="Columna_0.45x0.30m" localSheetId="0">#REF!</definedName>
    <definedName name="Columna_0.45x0.30m">#REF!</definedName>
    <definedName name="columneta_0.07x0.30m" localSheetId="10">#REF!</definedName>
    <definedName name="columneta_0.07x0.30m" localSheetId="7">#REF!</definedName>
    <definedName name="columneta_0.07x0.30m" localSheetId="12">#REF!</definedName>
    <definedName name="columneta_0.07x0.30m" localSheetId="1">#REF!</definedName>
    <definedName name="columneta_0.07x0.30m" localSheetId="0">#REF!</definedName>
    <definedName name="columneta_0.07x0.30m">#REF!</definedName>
    <definedName name="columneta_0.12x0.3m" localSheetId="10">#REF!</definedName>
    <definedName name="columneta_0.12x0.3m" localSheetId="7">#REF!</definedName>
    <definedName name="columneta_0.12x0.3m" localSheetId="12">#REF!</definedName>
    <definedName name="columneta_0.12x0.3m" localSheetId="1">#REF!</definedName>
    <definedName name="columneta_0.12x0.3m" localSheetId="0">#REF!</definedName>
    <definedName name="columneta_0.12x0.3m">#REF!</definedName>
    <definedName name="Columneta_0.15x0.15m" localSheetId="10">#REF!</definedName>
    <definedName name="Columneta_0.15x0.15m" localSheetId="7">#REF!</definedName>
    <definedName name="Columneta_0.15x0.15m" localSheetId="12">#REF!</definedName>
    <definedName name="Columneta_0.15x0.15m" localSheetId="1">#REF!</definedName>
    <definedName name="Columneta_0.15x0.15m" localSheetId="0">#REF!</definedName>
    <definedName name="Columneta_0.15x0.15m">#REF!</definedName>
    <definedName name="columneta_0.15x0.30m" localSheetId="10">#REF!</definedName>
    <definedName name="columneta_0.15x0.30m" localSheetId="7">#REF!</definedName>
    <definedName name="columneta_0.15x0.30m" localSheetId="12">#REF!</definedName>
    <definedName name="columneta_0.15x0.30m" localSheetId="1">#REF!</definedName>
    <definedName name="columneta_0.15x0.30m" localSheetId="0">#REF!</definedName>
    <definedName name="columneta_0.15x0.30m">#REF!</definedName>
    <definedName name="Const_punt_sanit_pvc2" localSheetId="10">#REF!</definedName>
    <definedName name="Const_punt_sanit_pvc2" localSheetId="7">#REF!</definedName>
    <definedName name="Const_punt_sanit_pvc2" localSheetId="12">#REF!</definedName>
    <definedName name="Const_punt_sanit_pvc2" localSheetId="1">#REF!</definedName>
    <definedName name="Const_punt_sanit_pvc2" localSheetId="0">#REF!</definedName>
    <definedName name="Const_punt_sanit_pvc2">#REF!</definedName>
    <definedName name="Const_punt_sanit_pvc4" localSheetId="10">#REF!</definedName>
    <definedName name="Const_punt_sanit_pvc4" localSheetId="7">#REF!</definedName>
    <definedName name="Const_punt_sanit_pvc4" localSheetId="12">#REF!</definedName>
    <definedName name="Const_punt_sanit_pvc4" localSheetId="1">#REF!</definedName>
    <definedName name="Const_punt_sanit_pvc4" localSheetId="0">#REF!</definedName>
    <definedName name="Const_punt_sanit_pvc4">#REF!</definedName>
    <definedName name="cu_10" localSheetId="10">#REF!</definedName>
    <definedName name="cu_10" localSheetId="7">#REF!</definedName>
    <definedName name="cu_10" localSheetId="12">#REF!</definedName>
    <definedName name="cu_10" localSheetId="1">#REF!</definedName>
    <definedName name="cu_10" localSheetId="0">#REF!</definedName>
    <definedName name="cu_10">#REF!</definedName>
    <definedName name="cu_11" localSheetId="10">#REF!</definedName>
    <definedName name="cu_11" localSheetId="7">#REF!</definedName>
    <definedName name="cu_11" localSheetId="12">#REF!</definedName>
    <definedName name="cu_11" localSheetId="1">#REF!</definedName>
    <definedName name="cu_11" localSheetId="0">#REF!</definedName>
    <definedName name="cu_11">#REF!</definedName>
    <definedName name="cu_12" localSheetId="10">#REF!</definedName>
    <definedName name="cu_12" localSheetId="7">#REF!</definedName>
    <definedName name="cu_12" localSheetId="12">#REF!</definedName>
    <definedName name="cu_12" localSheetId="1">#REF!</definedName>
    <definedName name="cu_12" localSheetId="0">#REF!</definedName>
    <definedName name="cu_12">#REF!</definedName>
    <definedName name="cu_13" localSheetId="10">#REF!</definedName>
    <definedName name="cu_13" localSheetId="7">#REF!</definedName>
    <definedName name="cu_13" localSheetId="12">#REF!</definedName>
    <definedName name="cu_13" localSheetId="1">#REF!</definedName>
    <definedName name="cu_13" localSheetId="0">#REF!</definedName>
    <definedName name="cu_13">#REF!</definedName>
    <definedName name="cu_14" localSheetId="10">#REF!</definedName>
    <definedName name="cu_14" localSheetId="7">#REF!</definedName>
    <definedName name="cu_14" localSheetId="12">#REF!</definedName>
    <definedName name="cu_14" localSheetId="1">#REF!</definedName>
    <definedName name="cu_14" localSheetId="0">#REF!</definedName>
    <definedName name="cu_14">#REF!</definedName>
    <definedName name="cu_15" localSheetId="10">#REF!</definedName>
    <definedName name="cu_15" localSheetId="7">#REF!</definedName>
    <definedName name="cu_15" localSheetId="12">#REF!</definedName>
    <definedName name="cu_15" localSheetId="1">#REF!</definedName>
    <definedName name="cu_15" localSheetId="0">#REF!</definedName>
    <definedName name="cu_15">#REF!</definedName>
    <definedName name="cu_16" localSheetId="10">#REF!</definedName>
    <definedName name="cu_16" localSheetId="7">#REF!</definedName>
    <definedName name="cu_16" localSheetId="12">#REF!</definedName>
    <definedName name="cu_16" localSheetId="1">#REF!</definedName>
    <definedName name="cu_16" localSheetId="0">#REF!</definedName>
    <definedName name="cu_16">#REF!</definedName>
    <definedName name="cu_17" localSheetId="10">#REF!</definedName>
    <definedName name="cu_17" localSheetId="7">#REF!</definedName>
    <definedName name="cu_17" localSheetId="12">#REF!</definedName>
    <definedName name="cu_17" localSheetId="1">#REF!</definedName>
    <definedName name="cu_17" localSheetId="0">#REF!</definedName>
    <definedName name="cu_17">#REF!</definedName>
    <definedName name="cu_18" localSheetId="10">#REF!</definedName>
    <definedName name="cu_18" localSheetId="7">#REF!</definedName>
    <definedName name="cu_18" localSheetId="12">#REF!</definedName>
    <definedName name="cu_18" localSheetId="1">#REF!</definedName>
    <definedName name="cu_18" localSheetId="0">#REF!</definedName>
    <definedName name="cu_18">#REF!</definedName>
    <definedName name="cu_19" localSheetId="10">#REF!</definedName>
    <definedName name="cu_19" localSheetId="7">#REF!</definedName>
    <definedName name="cu_19" localSheetId="12">#REF!</definedName>
    <definedName name="cu_19" localSheetId="1">#REF!</definedName>
    <definedName name="cu_19" localSheetId="0">#REF!</definedName>
    <definedName name="cu_19">#REF!</definedName>
    <definedName name="cu_2" localSheetId="10">#REF!</definedName>
    <definedName name="cu_2" localSheetId="7">#REF!</definedName>
    <definedName name="cu_2" localSheetId="12">#REF!</definedName>
    <definedName name="cu_2" localSheetId="1">#REF!</definedName>
    <definedName name="cu_2" localSheetId="0">#REF!</definedName>
    <definedName name="cu_2">#REF!</definedName>
    <definedName name="cu_20" localSheetId="10">#REF!</definedName>
    <definedName name="cu_20" localSheetId="7">#REF!</definedName>
    <definedName name="cu_20" localSheetId="12">#REF!</definedName>
    <definedName name="cu_20" localSheetId="1">#REF!</definedName>
    <definedName name="cu_20" localSheetId="0">#REF!</definedName>
    <definedName name="cu_20">#REF!</definedName>
    <definedName name="cu_21" localSheetId="10">#REF!</definedName>
    <definedName name="cu_21" localSheetId="7">#REF!</definedName>
    <definedName name="cu_21" localSheetId="12">#REF!</definedName>
    <definedName name="cu_21" localSheetId="1">#REF!</definedName>
    <definedName name="cu_21" localSheetId="0">#REF!</definedName>
    <definedName name="cu_21">#REF!</definedName>
    <definedName name="cu_22" localSheetId="10">#REF!</definedName>
    <definedName name="cu_22" localSheetId="7">#REF!</definedName>
    <definedName name="cu_22" localSheetId="12">#REF!</definedName>
    <definedName name="cu_22" localSheetId="1">#REF!</definedName>
    <definedName name="cu_22" localSheetId="0">#REF!</definedName>
    <definedName name="cu_22">#REF!</definedName>
    <definedName name="cu_23" localSheetId="10">#REF!</definedName>
    <definedName name="cu_23" localSheetId="7">#REF!</definedName>
    <definedName name="cu_23" localSheetId="12">#REF!</definedName>
    <definedName name="cu_23" localSheetId="1">#REF!</definedName>
    <definedName name="cu_23" localSheetId="0">#REF!</definedName>
    <definedName name="cu_23">#REF!</definedName>
    <definedName name="cu_24" localSheetId="10">#REF!</definedName>
    <definedName name="cu_24" localSheetId="7">#REF!</definedName>
    <definedName name="cu_24" localSheetId="12">#REF!</definedName>
    <definedName name="cu_24" localSheetId="1">#REF!</definedName>
    <definedName name="cu_24" localSheetId="0">#REF!</definedName>
    <definedName name="cu_24">#REF!</definedName>
    <definedName name="cu_25" localSheetId="10">#REF!</definedName>
    <definedName name="cu_25" localSheetId="7">#REF!</definedName>
    <definedName name="cu_25" localSheetId="12">#REF!</definedName>
    <definedName name="cu_25" localSheetId="1">#REF!</definedName>
    <definedName name="cu_25" localSheetId="0">#REF!</definedName>
    <definedName name="cu_25">#REF!</definedName>
    <definedName name="cu_26" localSheetId="10">#REF!</definedName>
    <definedName name="cu_26" localSheetId="7">#REF!</definedName>
    <definedName name="cu_26" localSheetId="12">#REF!</definedName>
    <definedName name="cu_26" localSheetId="1">#REF!</definedName>
    <definedName name="cu_26" localSheetId="0">#REF!</definedName>
    <definedName name="cu_26">#REF!</definedName>
    <definedName name="cu_27" localSheetId="10">#REF!</definedName>
    <definedName name="cu_27" localSheetId="7">#REF!</definedName>
    <definedName name="cu_27" localSheetId="12">#REF!</definedName>
    <definedName name="cu_27" localSheetId="1">#REF!</definedName>
    <definedName name="cu_27" localSheetId="0">#REF!</definedName>
    <definedName name="cu_27">#REF!</definedName>
    <definedName name="cu_28" localSheetId="10">#REF!</definedName>
    <definedName name="cu_28" localSheetId="7">#REF!</definedName>
    <definedName name="cu_28" localSheetId="12">#REF!</definedName>
    <definedName name="cu_28" localSheetId="1">#REF!</definedName>
    <definedName name="cu_28" localSheetId="0">#REF!</definedName>
    <definedName name="cu_28">#REF!</definedName>
    <definedName name="cu_29" localSheetId="10">#REF!</definedName>
    <definedName name="cu_29" localSheetId="7">#REF!</definedName>
    <definedName name="cu_29" localSheetId="12">#REF!</definedName>
    <definedName name="cu_29" localSheetId="1">#REF!</definedName>
    <definedName name="cu_29" localSheetId="0">#REF!</definedName>
    <definedName name="cu_29">#REF!</definedName>
    <definedName name="cu_3" localSheetId="10">#REF!</definedName>
    <definedName name="cu_3" localSheetId="7">#REF!</definedName>
    <definedName name="cu_3" localSheetId="12">#REF!</definedName>
    <definedName name="cu_3" localSheetId="1">#REF!</definedName>
    <definedName name="cu_3" localSheetId="0">#REF!</definedName>
    <definedName name="cu_3">#REF!</definedName>
    <definedName name="CU_30" localSheetId="10">#REF!</definedName>
    <definedName name="CU_30" localSheetId="7">#REF!</definedName>
    <definedName name="CU_30" localSheetId="12">#REF!</definedName>
    <definedName name="CU_30" localSheetId="1">#REF!</definedName>
    <definedName name="CU_30" localSheetId="0">#REF!</definedName>
    <definedName name="CU_30">#REF!</definedName>
    <definedName name="cu_4" localSheetId="10">#REF!</definedName>
    <definedName name="cu_4" localSheetId="7">#REF!</definedName>
    <definedName name="cu_4" localSheetId="12">#REF!</definedName>
    <definedName name="cu_4" localSheetId="1">#REF!</definedName>
    <definedName name="cu_4" localSheetId="0">#REF!</definedName>
    <definedName name="cu_4">#REF!</definedName>
    <definedName name="cu_5" localSheetId="10">#REF!</definedName>
    <definedName name="cu_5" localSheetId="7">#REF!</definedName>
    <definedName name="cu_5" localSheetId="12">#REF!</definedName>
    <definedName name="cu_5" localSheetId="1">#REF!</definedName>
    <definedName name="cu_5" localSheetId="0">#REF!</definedName>
    <definedName name="cu_5">#REF!</definedName>
    <definedName name="cu_6" localSheetId="10">#REF!</definedName>
    <definedName name="cu_6" localSheetId="7">#REF!</definedName>
    <definedName name="cu_6" localSheetId="12">#REF!</definedName>
    <definedName name="cu_6" localSheetId="1">#REF!</definedName>
    <definedName name="cu_6" localSheetId="0">#REF!</definedName>
    <definedName name="cu_6">#REF!</definedName>
    <definedName name="cu_7" localSheetId="10">#REF!</definedName>
    <definedName name="cu_7" localSheetId="7">#REF!</definedName>
    <definedName name="cu_7" localSheetId="12">#REF!</definedName>
    <definedName name="cu_7" localSheetId="1">#REF!</definedName>
    <definedName name="cu_7" localSheetId="0">#REF!</definedName>
    <definedName name="cu_7">#REF!</definedName>
    <definedName name="cu_8" localSheetId="10">#REF!</definedName>
    <definedName name="cu_8" localSheetId="7">#REF!</definedName>
    <definedName name="cu_8" localSheetId="12">#REF!</definedName>
    <definedName name="cu_8" localSheetId="1">#REF!</definedName>
    <definedName name="cu_8" localSheetId="0">#REF!</definedName>
    <definedName name="cu_8">#REF!</definedName>
    <definedName name="cu_9" localSheetId="10">#REF!</definedName>
    <definedName name="cu_9" localSheetId="7">#REF!</definedName>
    <definedName name="cu_9" localSheetId="12">#REF!</definedName>
    <definedName name="cu_9" localSheetId="1">#REF!</definedName>
    <definedName name="cu_9" localSheetId="0">#REF!</definedName>
    <definedName name="cu_9">#REF!</definedName>
    <definedName name="Dintel_concret_3000psi" localSheetId="10">#REF!</definedName>
    <definedName name="Dintel_concret_3000psi" localSheetId="7">#REF!</definedName>
    <definedName name="Dintel_concret_3000psi" localSheetId="12">#REF!</definedName>
    <definedName name="Dintel_concret_3000psi" localSheetId="1">#REF!</definedName>
    <definedName name="Dintel_concret_3000psi" localSheetId="0">#REF!</definedName>
    <definedName name="Dintel_concret_3000psi">#REF!</definedName>
    <definedName name="elec1" localSheetId="10">#REF!</definedName>
    <definedName name="elec1" localSheetId="7">#REF!</definedName>
    <definedName name="elec1" localSheetId="12">#REF!</definedName>
    <definedName name="elec1" localSheetId="1">#REF!</definedName>
    <definedName name="elec1" localSheetId="0">#REF!</definedName>
    <definedName name="elec1">#REF!</definedName>
    <definedName name="elec10" localSheetId="10">#REF!</definedName>
    <definedName name="elec10" localSheetId="7">#REF!</definedName>
    <definedName name="elec10" localSheetId="12">#REF!</definedName>
    <definedName name="elec10" localSheetId="1">#REF!</definedName>
    <definedName name="elec10" localSheetId="0">#REF!</definedName>
    <definedName name="elec10">#REF!</definedName>
    <definedName name="elec11" localSheetId="10">#REF!</definedName>
    <definedName name="elec11" localSheetId="7">#REF!</definedName>
    <definedName name="elec11" localSheetId="12">#REF!</definedName>
    <definedName name="elec11" localSheetId="1">#REF!</definedName>
    <definedName name="elec11" localSheetId="0">#REF!</definedName>
    <definedName name="elec11">#REF!</definedName>
    <definedName name="elec12" localSheetId="10">#REF!</definedName>
    <definedName name="elec12" localSheetId="7">#REF!</definedName>
    <definedName name="elec12" localSheetId="12">#REF!</definedName>
    <definedName name="elec12" localSheetId="1">#REF!</definedName>
    <definedName name="elec12" localSheetId="0">#REF!</definedName>
    <definedName name="elec12">#REF!</definedName>
    <definedName name="elec13" localSheetId="10">#REF!</definedName>
    <definedName name="elec13" localSheetId="7">#REF!</definedName>
    <definedName name="elec13" localSheetId="12">#REF!</definedName>
    <definedName name="elec13" localSheetId="1">#REF!</definedName>
    <definedName name="elec13" localSheetId="0">#REF!</definedName>
    <definedName name="elec13">#REF!</definedName>
    <definedName name="elec14" localSheetId="10">#REF!</definedName>
    <definedName name="elec14" localSheetId="7">#REF!</definedName>
    <definedName name="elec14" localSheetId="12">#REF!</definedName>
    <definedName name="elec14" localSheetId="1">#REF!</definedName>
    <definedName name="elec14" localSheetId="0">#REF!</definedName>
    <definedName name="elec14">#REF!</definedName>
    <definedName name="elec15" localSheetId="10">#REF!</definedName>
    <definedName name="elec15" localSheetId="7">#REF!</definedName>
    <definedName name="elec15" localSheetId="12">#REF!</definedName>
    <definedName name="elec15" localSheetId="1">#REF!</definedName>
    <definedName name="elec15" localSheetId="0">#REF!</definedName>
    <definedName name="elec15">#REF!</definedName>
    <definedName name="elec16" localSheetId="10">#REF!</definedName>
    <definedName name="elec16" localSheetId="7">#REF!</definedName>
    <definedName name="elec16" localSheetId="12">#REF!</definedName>
    <definedName name="elec16" localSheetId="1">#REF!</definedName>
    <definedName name="elec16" localSheetId="0">#REF!</definedName>
    <definedName name="elec16">#REF!</definedName>
    <definedName name="elec17" localSheetId="10">#REF!</definedName>
    <definedName name="elec17" localSheetId="7">#REF!</definedName>
    <definedName name="elec17" localSheetId="12">#REF!</definedName>
    <definedName name="elec17" localSheetId="1">#REF!</definedName>
    <definedName name="elec17" localSheetId="0">#REF!</definedName>
    <definedName name="elec17">#REF!</definedName>
    <definedName name="elec18" localSheetId="10">#REF!</definedName>
    <definedName name="elec18" localSheetId="7">#REF!</definedName>
    <definedName name="elec18" localSheetId="12">#REF!</definedName>
    <definedName name="elec18" localSheetId="1">#REF!</definedName>
    <definedName name="elec18" localSheetId="0">#REF!</definedName>
    <definedName name="elec18">#REF!</definedName>
    <definedName name="elec19" localSheetId="10">#REF!</definedName>
    <definedName name="elec19" localSheetId="7">#REF!</definedName>
    <definedName name="elec19" localSheetId="12">#REF!</definedName>
    <definedName name="elec19" localSheetId="1">#REF!</definedName>
    <definedName name="elec19" localSheetId="0">#REF!</definedName>
    <definedName name="elec19">#REF!</definedName>
    <definedName name="elec2" localSheetId="10">#REF!</definedName>
    <definedName name="elec2" localSheetId="7">#REF!</definedName>
    <definedName name="elec2" localSheetId="12">#REF!</definedName>
    <definedName name="elec2" localSheetId="1">#REF!</definedName>
    <definedName name="elec2" localSheetId="0">#REF!</definedName>
    <definedName name="elec2">#REF!</definedName>
    <definedName name="elec20" localSheetId="10">#REF!</definedName>
    <definedName name="elec20" localSheetId="7">#REF!</definedName>
    <definedName name="elec20" localSheetId="12">#REF!</definedName>
    <definedName name="elec20" localSheetId="1">#REF!</definedName>
    <definedName name="elec20" localSheetId="0">#REF!</definedName>
    <definedName name="elec20">#REF!</definedName>
    <definedName name="elec21" localSheetId="10">#REF!</definedName>
    <definedName name="elec21" localSheetId="7">#REF!</definedName>
    <definedName name="elec21" localSheetId="12">#REF!</definedName>
    <definedName name="elec21" localSheetId="1">#REF!</definedName>
    <definedName name="elec21" localSheetId="0">#REF!</definedName>
    <definedName name="elec21">#REF!</definedName>
    <definedName name="elec22" localSheetId="10">#REF!</definedName>
    <definedName name="elec22" localSheetId="7">#REF!</definedName>
    <definedName name="elec22" localSheetId="12">#REF!</definedName>
    <definedName name="elec22" localSheetId="1">#REF!</definedName>
    <definedName name="elec22" localSheetId="0">#REF!</definedName>
    <definedName name="elec22">#REF!</definedName>
    <definedName name="elec23" localSheetId="10">#REF!</definedName>
    <definedName name="elec23" localSheetId="7">#REF!</definedName>
    <definedName name="elec23" localSheetId="12">#REF!</definedName>
    <definedName name="elec23" localSheetId="1">#REF!</definedName>
    <definedName name="elec23" localSheetId="0">#REF!</definedName>
    <definedName name="elec23">#REF!</definedName>
    <definedName name="elec24" localSheetId="10">#REF!</definedName>
    <definedName name="elec24" localSheetId="7">#REF!</definedName>
    <definedName name="elec24" localSheetId="12">#REF!</definedName>
    <definedName name="elec24" localSheetId="1">#REF!</definedName>
    <definedName name="elec24" localSheetId="0">#REF!</definedName>
    <definedName name="elec24">#REF!</definedName>
    <definedName name="elec25" localSheetId="10">#REF!</definedName>
    <definedName name="elec25" localSheetId="7">#REF!</definedName>
    <definedName name="elec25" localSheetId="12">#REF!</definedName>
    <definedName name="elec25" localSheetId="1">#REF!</definedName>
    <definedName name="elec25" localSheetId="0">#REF!</definedName>
    <definedName name="elec25">#REF!</definedName>
    <definedName name="elec26" localSheetId="10">#REF!</definedName>
    <definedName name="elec26" localSheetId="7">#REF!</definedName>
    <definedName name="elec26" localSheetId="12">#REF!</definedName>
    <definedName name="elec26" localSheetId="1">#REF!</definedName>
    <definedName name="elec26" localSheetId="0">#REF!</definedName>
    <definedName name="elec26">#REF!</definedName>
    <definedName name="elec27" localSheetId="10">#REF!</definedName>
    <definedName name="elec27" localSheetId="7">#REF!</definedName>
    <definedName name="elec27" localSheetId="12">#REF!</definedName>
    <definedName name="elec27" localSheetId="1">#REF!</definedName>
    <definedName name="elec27" localSheetId="0">#REF!</definedName>
    <definedName name="elec27">#REF!</definedName>
    <definedName name="elec28" localSheetId="10">#REF!</definedName>
    <definedName name="elec28" localSheetId="7">#REF!</definedName>
    <definedName name="elec28" localSheetId="12">#REF!</definedName>
    <definedName name="elec28" localSheetId="1">#REF!</definedName>
    <definedName name="elec28" localSheetId="0">#REF!</definedName>
    <definedName name="elec28">#REF!</definedName>
    <definedName name="elec29" localSheetId="10">#REF!</definedName>
    <definedName name="elec29" localSheetId="7">#REF!</definedName>
    <definedName name="elec29" localSheetId="12">#REF!</definedName>
    <definedName name="elec29" localSheetId="1">#REF!</definedName>
    <definedName name="elec29" localSheetId="0">#REF!</definedName>
    <definedName name="elec29">#REF!</definedName>
    <definedName name="elec3" localSheetId="10">#REF!</definedName>
    <definedName name="elec3" localSheetId="7">#REF!</definedName>
    <definedName name="elec3" localSheetId="12">#REF!</definedName>
    <definedName name="elec3" localSheetId="1">#REF!</definedName>
    <definedName name="elec3" localSheetId="0">#REF!</definedName>
    <definedName name="elec3">#REF!</definedName>
    <definedName name="elec30" localSheetId="10">#REF!</definedName>
    <definedName name="elec30" localSheetId="7">#REF!</definedName>
    <definedName name="elec30" localSheetId="12">#REF!</definedName>
    <definedName name="elec30" localSheetId="1">#REF!</definedName>
    <definedName name="elec30" localSheetId="0">#REF!</definedName>
    <definedName name="elec30">#REF!</definedName>
    <definedName name="elec31" localSheetId="10">#REF!</definedName>
    <definedName name="elec31" localSheetId="7">#REF!</definedName>
    <definedName name="elec31" localSheetId="12">#REF!</definedName>
    <definedName name="elec31" localSheetId="1">#REF!</definedName>
    <definedName name="elec31" localSheetId="0">#REF!</definedName>
    <definedName name="elec31">#REF!</definedName>
    <definedName name="elec32" localSheetId="10">#REF!</definedName>
    <definedName name="elec32" localSheetId="7">#REF!</definedName>
    <definedName name="elec32" localSheetId="12">#REF!</definedName>
    <definedName name="elec32" localSheetId="1">#REF!</definedName>
    <definedName name="elec32" localSheetId="0">#REF!</definedName>
    <definedName name="elec32">#REF!</definedName>
    <definedName name="elec33" localSheetId="10">#REF!</definedName>
    <definedName name="elec33" localSheetId="7">#REF!</definedName>
    <definedName name="elec33" localSheetId="12">#REF!</definedName>
    <definedName name="elec33" localSheetId="1">#REF!</definedName>
    <definedName name="elec33" localSheetId="0">#REF!</definedName>
    <definedName name="elec33">#REF!</definedName>
    <definedName name="elec34" localSheetId="10">#REF!</definedName>
    <definedName name="elec34" localSheetId="7">#REF!</definedName>
    <definedName name="elec34" localSheetId="12">#REF!</definedName>
    <definedName name="elec34" localSheetId="1">#REF!</definedName>
    <definedName name="elec34" localSheetId="0">#REF!</definedName>
    <definedName name="elec34">#REF!</definedName>
    <definedName name="elec35" localSheetId="10">#REF!</definedName>
    <definedName name="elec35" localSheetId="7">#REF!</definedName>
    <definedName name="elec35" localSheetId="12">#REF!</definedName>
    <definedName name="elec35" localSheetId="1">#REF!</definedName>
    <definedName name="elec35" localSheetId="0">#REF!</definedName>
    <definedName name="elec35">#REF!</definedName>
    <definedName name="elec36" localSheetId="10">#REF!</definedName>
    <definedName name="elec36" localSheetId="7">#REF!</definedName>
    <definedName name="elec36" localSheetId="12">#REF!</definedName>
    <definedName name="elec36" localSheetId="1">#REF!</definedName>
    <definedName name="elec36" localSheetId="0">#REF!</definedName>
    <definedName name="elec36">#REF!</definedName>
    <definedName name="elec37" localSheetId="10">#REF!</definedName>
    <definedName name="elec37" localSheetId="7">#REF!</definedName>
    <definedName name="elec37" localSheetId="12">#REF!</definedName>
    <definedName name="elec37" localSheetId="1">#REF!</definedName>
    <definedName name="elec37" localSheetId="0">#REF!</definedName>
    <definedName name="elec37">#REF!</definedName>
    <definedName name="elec38" localSheetId="10">#REF!</definedName>
    <definedName name="elec38" localSheetId="7">#REF!</definedName>
    <definedName name="elec38" localSheetId="12">#REF!</definedName>
    <definedName name="elec38" localSheetId="1">#REF!</definedName>
    <definedName name="elec38" localSheetId="0">#REF!</definedName>
    <definedName name="elec38">#REF!</definedName>
    <definedName name="elec39" localSheetId="10">#REF!</definedName>
    <definedName name="elec39" localSheetId="7">#REF!</definedName>
    <definedName name="elec39" localSheetId="12">#REF!</definedName>
    <definedName name="elec39" localSheetId="1">#REF!</definedName>
    <definedName name="elec39" localSheetId="0">#REF!</definedName>
    <definedName name="elec39">#REF!</definedName>
    <definedName name="elec4" localSheetId="10">#REF!</definedName>
    <definedName name="elec4" localSheetId="7">#REF!</definedName>
    <definedName name="elec4" localSheetId="12">#REF!</definedName>
    <definedName name="elec4" localSheetId="1">#REF!</definedName>
    <definedName name="elec4" localSheetId="0">#REF!</definedName>
    <definedName name="elec4">#REF!</definedName>
    <definedName name="elec40" localSheetId="10">#REF!</definedName>
    <definedName name="elec40" localSheetId="7">#REF!</definedName>
    <definedName name="elec40" localSheetId="12">#REF!</definedName>
    <definedName name="elec40" localSheetId="1">#REF!</definedName>
    <definedName name="elec40" localSheetId="0">#REF!</definedName>
    <definedName name="elec40">#REF!</definedName>
    <definedName name="elec41" localSheetId="10">#REF!</definedName>
    <definedName name="elec41" localSheetId="7">#REF!</definedName>
    <definedName name="elec41" localSheetId="12">#REF!</definedName>
    <definedName name="elec41" localSheetId="1">#REF!</definedName>
    <definedName name="elec41" localSheetId="0">#REF!</definedName>
    <definedName name="elec41">#REF!</definedName>
    <definedName name="elec42" localSheetId="10">#REF!</definedName>
    <definedName name="elec42" localSheetId="7">#REF!</definedName>
    <definedName name="elec42" localSheetId="12">#REF!</definedName>
    <definedName name="elec42" localSheetId="1">#REF!</definedName>
    <definedName name="elec42" localSheetId="0">#REF!</definedName>
    <definedName name="elec42">#REF!</definedName>
    <definedName name="elec43" localSheetId="10">#REF!</definedName>
    <definedName name="elec43" localSheetId="7">#REF!</definedName>
    <definedName name="elec43" localSheetId="12">#REF!</definedName>
    <definedName name="elec43" localSheetId="1">#REF!</definedName>
    <definedName name="elec43" localSheetId="0">#REF!</definedName>
    <definedName name="elec43">#REF!</definedName>
    <definedName name="elec44" localSheetId="10">#REF!</definedName>
    <definedName name="elec44" localSheetId="7">#REF!</definedName>
    <definedName name="elec44" localSheetId="12">#REF!</definedName>
    <definedName name="elec44" localSheetId="1">#REF!</definedName>
    <definedName name="elec44" localSheetId="0">#REF!</definedName>
    <definedName name="elec44">#REF!</definedName>
    <definedName name="elec5" localSheetId="10">#REF!</definedName>
    <definedName name="elec5" localSheetId="7">#REF!</definedName>
    <definedName name="elec5" localSheetId="12">#REF!</definedName>
    <definedName name="elec5" localSheetId="1">#REF!</definedName>
    <definedName name="elec5" localSheetId="0">#REF!</definedName>
    <definedName name="elec5">#REF!</definedName>
    <definedName name="elec6" localSheetId="10">#REF!</definedName>
    <definedName name="elec6" localSheetId="7">#REF!</definedName>
    <definedName name="elec6" localSheetId="12">#REF!</definedName>
    <definedName name="elec6" localSheetId="1">#REF!</definedName>
    <definedName name="elec6" localSheetId="0">#REF!</definedName>
    <definedName name="elec6">#REF!</definedName>
    <definedName name="elec7" localSheetId="10">#REF!</definedName>
    <definedName name="elec7" localSheetId="7">#REF!</definedName>
    <definedName name="elec7" localSheetId="12">#REF!</definedName>
    <definedName name="elec7" localSheetId="1">#REF!</definedName>
    <definedName name="elec7" localSheetId="0">#REF!</definedName>
    <definedName name="elec7">#REF!</definedName>
    <definedName name="elec8" localSheetId="10">#REF!</definedName>
    <definedName name="elec8" localSheetId="7">#REF!</definedName>
    <definedName name="elec8" localSheetId="12">#REF!</definedName>
    <definedName name="elec8" localSheetId="1">#REF!</definedName>
    <definedName name="elec8" localSheetId="0">#REF!</definedName>
    <definedName name="elec8">#REF!</definedName>
    <definedName name="elec9" localSheetId="10">#REF!</definedName>
    <definedName name="elec9" localSheetId="7">#REF!</definedName>
    <definedName name="elec9" localSheetId="12">#REF!</definedName>
    <definedName name="elec9" localSheetId="1">#REF!</definedName>
    <definedName name="elec9" localSheetId="0">#REF!</definedName>
    <definedName name="elec9">#REF!</definedName>
    <definedName name="ENS" localSheetId="6">[1]ENS!$B$2:$B$50</definedName>
    <definedName name="ENS">[1]ENS!$B$2:$B$50</definedName>
    <definedName name="estuco10" localSheetId="10">#REF!</definedName>
    <definedName name="estuco10" localSheetId="7">#REF!</definedName>
    <definedName name="estuco10" localSheetId="12">#REF!</definedName>
    <definedName name="estuco10" localSheetId="1">#REF!</definedName>
    <definedName name="estuco10" localSheetId="0">#REF!</definedName>
    <definedName name="estuco10">#REF!</definedName>
    <definedName name="estuco11" localSheetId="10">#REF!</definedName>
    <definedName name="estuco11" localSheetId="7">#REF!</definedName>
    <definedName name="estuco11" localSheetId="12">#REF!</definedName>
    <definedName name="estuco11" localSheetId="1">#REF!</definedName>
    <definedName name="estuco11" localSheetId="0">#REF!</definedName>
    <definedName name="estuco11">#REF!</definedName>
    <definedName name="estuco12" localSheetId="10">#REF!</definedName>
    <definedName name="estuco12" localSheetId="7">#REF!</definedName>
    <definedName name="estuco12" localSheetId="12">#REF!</definedName>
    <definedName name="estuco12" localSheetId="1">#REF!</definedName>
    <definedName name="estuco12" localSheetId="0">#REF!</definedName>
    <definedName name="estuco12">#REF!</definedName>
    <definedName name="estuco13" localSheetId="10">#REF!</definedName>
    <definedName name="estuco13" localSheetId="7">#REF!</definedName>
    <definedName name="estuco13" localSheetId="12">#REF!</definedName>
    <definedName name="estuco13" localSheetId="1">#REF!</definedName>
    <definedName name="estuco13" localSheetId="0">#REF!</definedName>
    <definedName name="estuco13">#REF!</definedName>
    <definedName name="estuco14" localSheetId="10">#REF!</definedName>
    <definedName name="estuco14" localSheetId="7">#REF!</definedName>
    <definedName name="estuco14" localSheetId="12">#REF!</definedName>
    <definedName name="estuco14" localSheetId="1">#REF!</definedName>
    <definedName name="estuco14" localSheetId="0">#REF!</definedName>
    <definedName name="estuco14">#REF!</definedName>
    <definedName name="estuco15" localSheetId="10">#REF!</definedName>
    <definedName name="estuco15" localSheetId="7">#REF!</definedName>
    <definedName name="estuco15" localSheetId="12">#REF!</definedName>
    <definedName name="estuco15" localSheetId="1">#REF!</definedName>
    <definedName name="estuco15" localSheetId="0">#REF!</definedName>
    <definedName name="estuco15">#REF!</definedName>
    <definedName name="estuco16" localSheetId="10">#REF!</definedName>
    <definedName name="estuco16" localSheetId="7">#REF!</definedName>
    <definedName name="estuco16" localSheetId="12">#REF!</definedName>
    <definedName name="estuco16" localSheetId="1">#REF!</definedName>
    <definedName name="estuco16" localSheetId="0">#REF!</definedName>
    <definedName name="estuco16">#REF!</definedName>
    <definedName name="estuco17" localSheetId="10">#REF!</definedName>
    <definedName name="estuco17" localSheetId="7">#REF!</definedName>
    <definedName name="estuco17" localSheetId="12">#REF!</definedName>
    <definedName name="estuco17" localSheetId="1">#REF!</definedName>
    <definedName name="estuco17" localSheetId="0">#REF!</definedName>
    <definedName name="estuco17">#REF!</definedName>
    <definedName name="estuco18" localSheetId="10">#REF!</definedName>
    <definedName name="estuco18" localSheetId="7">#REF!</definedName>
    <definedName name="estuco18" localSheetId="12">#REF!</definedName>
    <definedName name="estuco18" localSheetId="1">#REF!</definedName>
    <definedName name="estuco18" localSheetId="0">#REF!</definedName>
    <definedName name="estuco18">#REF!</definedName>
    <definedName name="estuco19" localSheetId="10">#REF!</definedName>
    <definedName name="estuco19" localSheetId="7">#REF!</definedName>
    <definedName name="estuco19" localSheetId="12">#REF!</definedName>
    <definedName name="estuco19" localSheetId="1">#REF!</definedName>
    <definedName name="estuco19" localSheetId="0">#REF!</definedName>
    <definedName name="estuco19">#REF!</definedName>
    <definedName name="estuco2" localSheetId="10">#REF!</definedName>
    <definedName name="estuco2" localSheetId="7">#REF!</definedName>
    <definedName name="estuco2" localSheetId="12">#REF!</definedName>
    <definedName name="estuco2" localSheetId="1">#REF!</definedName>
    <definedName name="estuco2" localSheetId="0">#REF!</definedName>
    <definedName name="estuco2">#REF!</definedName>
    <definedName name="estuco20" localSheetId="10">#REF!</definedName>
    <definedName name="estuco20" localSheetId="7">#REF!</definedName>
    <definedName name="estuco20" localSheetId="12">#REF!</definedName>
    <definedName name="estuco20" localSheetId="1">#REF!</definedName>
    <definedName name="estuco20" localSheetId="0">#REF!</definedName>
    <definedName name="estuco20">#REF!</definedName>
    <definedName name="estuco21" localSheetId="10">#REF!</definedName>
    <definedName name="estuco21" localSheetId="7">#REF!</definedName>
    <definedName name="estuco21" localSheetId="12">#REF!</definedName>
    <definedName name="estuco21" localSheetId="1">#REF!</definedName>
    <definedName name="estuco21" localSheetId="0">#REF!</definedName>
    <definedName name="estuco21">#REF!</definedName>
    <definedName name="estuco22" localSheetId="10">#REF!</definedName>
    <definedName name="estuco22" localSheetId="7">#REF!</definedName>
    <definedName name="estuco22" localSheetId="12">#REF!</definedName>
    <definedName name="estuco22" localSheetId="1">#REF!</definedName>
    <definedName name="estuco22" localSheetId="0">#REF!</definedName>
    <definedName name="estuco22">#REF!</definedName>
    <definedName name="estuco23" localSheetId="10">#REF!</definedName>
    <definedName name="estuco23" localSheetId="7">#REF!</definedName>
    <definedName name="estuco23" localSheetId="12">#REF!</definedName>
    <definedName name="estuco23" localSheetId="1">#REF!</definedName>
    <definedName name="estuco23" localSheetId="0">#REF!</definedName>
    <definedName name="estuco23">#REF!</definedName>
    <definedName name="estuco3" localSheetId="10">#REF!</definedName>
    <definedName name="estuco3" localSheetId="7">#REF!</definedName>
    <definedName name="estuco3" localSheetId="12">#REF!</definedName>
    <definedName name="estuco3" localSheetId="1">#REF!</definedName>
    <definedName name="estuco3" localSheetId="0">#REF!</definedName>
    <definedName name="estuco3">#REF!</definedName>
    <definedName name="estuco4" localSheetId="10">#REF!</definedName>
    <definedName name="estuco4" localSheetId="7">#REF!</definedName>
    <definedName name="estuco4" localSheetId="12">#REF!</definedName>
    <definedName name="estuco4" localSheetId="1">#REF!</definedName>
    <definedName name="estuco4" localSheetId="0">#REF!</definedName>
    <definedName name="estuco4">#REF!</definedName>
    <definedName name="estuco5" localSheetId="10">#REF!</definedName>
    <definedName name="estuco5" localSheetId="7">#REF!</definedName>
    <definedName name="estuco5" localSheetId="12">#REF!</definedName>
    <definedName name="estuco5" localSheetId="1">#REF!</definedName>
    <definedName name="estuco5" localSheetId="0">#REF!</definedName>
    <definedName name="estuco5">#REF!</definedName>
    <definedName name="estuco6" localSheetId="10">#REF!</definedName>
    <definedName name="estuco6" localSheetId="7">#REF!</definedName>
    <definedName name="estuco6" localSheetId="12">#REF!</definedName>
    <definedName name="estuco6" localSheetId="1">#REF!</definedName>
    <definedName name="estuco6" localSheetId="0">#REF!</definedName>
    <definedName name="estuco6">#REF!</definedName>
    <definedName name="estuco7" localSheetId="10">#REF!</definedName>
    <definedName name="estuco7" localSheetId="7">#REF!</definedName>
    <definedName name="estuco7" localSheetId="12">#REF!</definedName>
    <definedName name="estuco7" localSheetId="1">#REF!</definedName>
    <definedName name="estuco7" localSheetId="0">#REF!</definedName>
    <definedName name="estuco7">#REF!</definedName>
    <definedName name="estuco8" localSheetId="10">#REF!</definedName>
    <definedName name="estuco8" localSheetId="7">#REF!</definedName>
    <definedName name="estuco8" localSheetId="12">#REF!</definedName>
    <definedName name="estuco8" localSheetId="1">#REF!</definedName>
    <definedName name="estuco8" localSheetId="0">#REF!</definedName>
    <definedName name="estuco8">#REF!</definedName>
    <definedName name="estuco9" localSheetId="10">#REF!</definedName>
    <definedName name="estuco9" localSheetId="7">#REF!</definedName>
    <definedName name="estuco9" localSheetId="12">#REF!</definedName>
    <definedName name="estuco9" localSheetId="1">#REF!</definedName>
    <definedName name="estuco9" localSheetId="0">#REF!</definedName>
    <definedName name="estuco9">#REF!</definedName>
    <definedName name="Exc_man_roca_agua_2_4m_bomb" localSheetId="10">#REF!</definedName>
    <definedName name="Exc_man_roca_agua_2_4m_bomb" localSheetId="7">#REF!</definedName>
    <definedName name="Exc_man_roca_agua_2_4m_bomb" localSheetId="12">#REF!</definedName>
    <definedName name="Exc_man_roca_agua_2_4m_bomb" localSheetId="1">#REF!</definedName>
    <definedName name="Exc_man_roca_agua_2_4m_bomb" localSheetId="0">#REF!</definedName>
    <definedName name="Exc_man_roca_agua_2_4m_bomb">#REF!</definedName>
    <definedName name="excava52" localSheetId="10">#REF!</definedName>
    <definedName name="excava52" localSheetId="7">#REF!</definedName>
    <definedName name="excava52" localSheetId="12">#REF!</definedName>
    <definedName name="excava52" localSheetId="1">#REF!</definedName>
    <definedName name="excava52" localSheetId="0">#REF!</definedName>
    <definedName name="excava52">#REF!</definedName>
    <definedName name="excava53" localSheetId="10">#REF!</definedName>
    <definedName name="excava53" localSheetId="7">#REF!</definedName>
    <definedName name="excava53" localSheetId="12">#REF!</definedName>
    <definedName name="excava53" localSheetId="1">#REF!</definedName>
    <definedName name="excava53" localSheetId="0">#REF!</definedName>
    <definedName name="excava53">#REF!</definedName>
    <definedName name="m_10" localSheetId="10">#REF!</definedName>
    <definedName name="m_10" localSheetId="7">#REF!</definedName>
    <definedName name="m_10" localSheetId="12">#REF!</definedName>
    <definedName name="m_10" localSheetId="1">#REF!</definedName>
    <definedName name="m_10" localSheetId="0">#REF!</definedName>
    <definedName name="m_10">#REF!</definedName>
    <definedName name="m_11" localSheetId="10">#REF!</definedName>
    <definedName name="m_11" localSheetId="7">#REF!</definedName>
    <definedName name="m_11" localSheetId="12">#REF!</definedName>
    <definedName name="m_11" localSheetId="1">#REF!</definedName>
    <definedName name="m_11" localSheetId="0">#REF!</definedName>
    <definedName name="m_11">#REF!</definedName>
    <definedName name="m_12" localSheetId="10">#REF!</definedName>
    <definedName name="m_12" localSheetId="7">#REF!</definedName>
    <definedName name="m_12" localSheetId="12">#REF!</definedName>
    <definedName name="m_12" localSheetId="1">#REF!</definedName>
    <definedName name="m_12" localSheetId="0">#REF!</definedName>
    <definedName name="m_12">#REF!</definedName>
    <definedName name="m_13" localSheetId="10">#REF!</definedName>
    <definedName name="m_13" localSheetId="7">#REF!</definedName>
    <definedName name="m_13" localSheetId="12">#REF!</definedName>
    <definedName name="m_13" localSheetId="1">#REF!</definedName>
    <definedName name="m_13" localSheetId="0">#REF!</definedName>
    <definedName name="m_13">#REF!</definedName>
    <definedName name="m_14" localSheetId="10">#REF!</definedName>
    <definedName name="m_14" localSheetId="7">#REF!</definedName>
    <definedName name="m_14" localSheetId="12">#REF!</definedName>
    <definedName name="m_14" localSheetId="1">#REF!</definedName>
    <definedName name="m_14" localSheetId="0">#REF!</definedName>
    <definedName name="m_14">#REF!</definedName>
    <definedName name="m_15" localSheetId="10">#REF!</definedName>
    <definedName name="m_15" localSheetId="7">#REF!</definedName>
    <definedName name="m_15" localSheetId="12">#REF!</definedName>
    <definedName name="m_15" localSheetId="1">#REF!</definedName>
    <definedName name="m_15" localSheetId="0">#REF!</definedName>
    <definedName name="m_15">#REF!</definedName>
    <definedName name="m_16" localSheetId="10">#REF!</definedName>
    <definedName name="m_16" localSheetId="7">#REF!</definedName>
    <definedName name="m_16" localSheetId="12">#REF!</definedName>
    <definedName name="m_16" localSheetId="1">#REF!</definedName>
    <definedName name="m_16" localSheetId="0">#REF!</definedName>
    <definedName name="m_16">#REF!</definedName>
    <definedName name="m_17" localSheetId="10">#REF!</definedName>
    <definedName name="m_17" localSheetId="7">#REF!</definedName>
    <definedName name="m_17" localSheetId="12">#REF!</definedName>
    <definedName name="m_17" localSheetId="1">#REF!</definedName>
    <definedName name="m_17" localSheetId="0">#REF!</definedName>
    <definedName name="m_17">#REF!</definedName>
    <definedName name="m_18" localSheetId="10">#REF!</definedName>
    <definedName name="m_18" localSheetId="7">#REF!</definedName>
    <definedName name="m_18" localSheetId="12">#REF!</definedName>
    <definedName name="m_18" localSheetId="1">#REF!</definedName>
    <definedName name="m_18" localSheetId="0">#REF!</definedName>
    <definedName name="m_18">#REF!</definedName>
    <definedName name="m_19" localSheetId="10">#REF!</definedName>
    <definedName name="m_19" localSheetId="7">#REF!</definedName>
    <definedName name="m_19" localSheetId="12">#REF!</definedName>
    <definedName name="m_19" localSheetId="1">#REF!</definedName>
    <definedName name="m_19" localSheetId="0">#REF!</definedName>
    <definedName name="m_19">#REF!</definedName>
    <definedName name="m_2" localSheetId="10">#REF!</definedName>
    <definedName name="m_2" localSheetId="7">#REF!</definedName>
    <definedName name="m_2" localSheetId="12">#REF!</definedName>
    <definedName name="m_2" localSheetId="1">#REF!</definedName>
    <definedName name="m_2" localSheetId="0">#REF!</definedName>
    <definedName name="m_2">#REF!</definedName>
    <definedName name="m_20" localSheetId="10">#REF!</definedName>
    <definedName name="m_20" localSheetId="7">#REF!</definedName>
    <definedName name="m_20" localSheetId="12">#REF!</definedName>
    <definedName name="m_20" localSheetId="1">#REF!</definedName>
    <definedName name="m_20" localSheetId="0">#REF!</definedName>
    <definedName name="m_20">#REF!</definedName>
    <definedName name="m_21" localSheetId="10">#REF!</definedName>
    <definedName name="m_21" localSheetId="7">#REF!</definedName>
    <definedName name="m_21" localSheetId="12">#REF!</definedName>
    <definedName name="m_21" localSheetId="1">#REF!</definedName>
    <definedName name="m_21" localSheetId="0">#REF!</definedName>
    <definedName name="m_21">#REF!</definedName>
    <definedName name="m_22" localSheetId="10">#REF!</definedName>
    <definedName name="m_22" localSheetId="7">#REF!</definedName>
    <definedName name="m_22" localSheetId="12">#REF!</definedName>
    <definedName name="m_22" localSheetId="1">#REF!</definedName>
    <definedName name="m_22" localSheetId="0">#REF!</definedName>
    <definedName name="m_22">#REF!</definedName>
    <definedName name="m_23" localSheetId="10">#REF!</definedName>
    <definedName name="m_23" localSheetId="7">#REF!</definedName>
    <definedName name="m_23" localSheetId="12">#REF!</definedName>
    <definedName name="m_23" localSheetId="1">#REF!</definedName>
    <definedName name="m_23" localSheetId="0">#REF!</definedName>
    <definedName name="m_23">#REF!</definedName>
    <definedName name="m_3" localSheetId="10">#REF!</definedName>
    <definedName name="m_3" localSheetId="7">#REF!</definedName>
    <definedName name="m_3" localSheetId="12">#REF!</definedName>
    <definedName name="m_3" localSheetId="1">#REF!</definedName>
    <definedName name="m_3" localSheetId="0">#REF!</definedName>
    <definedName name="m_3">#REF!</definedName>
    <definedName name="m_4" localSheetId="10">#REF!</definedName>
    <definedName name="m_4" localSheetId="7">#REF!</definedName>
    <definedName name="m_4" localSheetId="12">#REF!</definedName>
    <definedName name="m_4" localSheetId="1">#REF!</definedName>
    <definedName name="m_4" localSheetId="0">#REF!</definedName>
    <definedName name="m_4">#REF!</definedName>
    <definedName name="m_5" localSheetId="10">#REF!</definedName>
    <definedName name="m_5" localSheetId="7">#REF!</definedName>
    <definedName name="m_5" localSheetId="12">#REF!</definedName>
    <definedName name="m_5" localSheetId="1">#REF!</definedName>
    <definedName name="m_5" localSheetId="0">#REF!</definedName>
    <definedName name="m_5">#REF!</definedName>
    <definedName name="m_6" localSheetId="10">#REF!</definedName>
    <definedName name="m_6" localSheetId="7">#REF!</definedName>
    <definedName name="m_6" localSheetId="12">#REF!</definedName>
    <definedName name="m_6" localSheetId="1">#REF!</definedName>
    <definedName name="m_6" localSheetId="0">#REF!</definedName>
    <definedName name="m_6">#REF!</definedName>
    <definedName name="m_7" localSheetId="10">#REF!</definedName>
    <definedName name="m_7" localSheetId="7">#REF!</definedName>
    <definedName name="m_7" localSheetId="12">#REF!</definedName>
    <definedName name="m_7" localSheetId="1">#REF!</definedName>
    <definedName name="m_7" localSheetId="0">#REF!</definedName>
    <definedName name="m_7">#REF!</definedName>
    <definedName name="m_8" localSheetId="10">#REF!</definedName>
    <definedName name="m_8" localSheetId="7">#REF!</definedName>
    <definedName name="m_8" localSheetId="12">#REF!</definedName>
    <definedName name="m_8" localSheetId="1">#REF!</definedName>
    <definedName name="m_8" localSheetId="0">#REF!</definedName>
    <definedName name="m_8">#REF!</definedName>
    <definedName name="m_9" localSheetId="10">#REF!</definedName>
    <definedName name="m_9" localSheetId="7">#REF!</definedName>
    <definedName name="m_9" localSheetId="12">#REF!</definedName>
    <definedName name="m_9" localSheetId="1">#REF!</definedName>
    <definedName name="m_9" localSheetId="0">#REF!</definedName>
    <definedName name="m_9">#REF!</definedName>
    <definedName name="mobilurban2" localSheetId="10">#REF!</definedName>
    <definedName name="mobilurban2" localSheetId="7">#REF!</definedName>
    <definedName name="mobilurban2" localSheetId="12">#REF!</definedName>
    <definedName name="mobilurban2" localSheetId="1">#REF!</definedName>
    <definedName name="mobilurban2" localSheetId="0">#REF!</definedName>
    <definedName name="mobilurban2">#REF!</definedName>
    <definedName name="mobilurban3" localSheetId="10">#REF!</definedName>
    <definedName name="mobilurban3" localSheetId="7">#REF!</definedName>
    <definedName name="mobilurban3" localSheetId="12">#REF!</definedName>
    <definedName name="mobilurban3" localSheetId="1">#REF!</definedName>
    <definedName name="mobilurban3" localSheetId="0">#REF!</definedName>
    <definedName name="mobilurban3">#REF!</definedName>
    <definedName name="mobilurban4" localSheetId="10">#REF!</definedName>
    <definedName name="mobilurban4" localSheetId="7">#REF!</definedName>
    <definedName name="mobilurban4" localSheetId="12">#REF!</definedName>
    <definedName name="mobilurban4" localSheetId="1">#REF!</definedName>
    <definedName name="mobilurban4" localSheetId="0">#REF!</definedName>
    <definedName name="mobilurban4">#REF!</definedName>
    <definedName name="mobilurban5" localSheetId="10">#REF!</definedName>
    <definedName name="mobilurban5" localSheetId="7">#REF!</definedName>
    <definedName name="mobilurban5" localSheetId="12">#REF!</definedName>
    <definedName name="mobilurban5" localSheetId="1">#REF!</definedName>
    <definedName name="mobilurban5" localSheetId="0">#REF!</definedName>
    <definedName name="mobilurban5">#REF!</definedName>
    <definedName name="mobilurban6" localSheetId="10">#REF!</definedName>
    <definedName name="mobilurban6" localSheetId="7">#REF!</definedName>
    <definedName name="mobilurban6" localSheetId="12">#REF!</definedName>
    <definedName name="mobilurban6" localSheetId="1">#REF!</definedName>
    <definedName name="mobilurban6" localSheetId="0">#REF!</definedName>
    <definedName name="mobilurban6">#REF!</definedName>
    <definedName name="mobilurban7" localSheetId="10">#REF!</definedName>
    <definedName name="mobilurban7" localSheetId="7">#REF!</definedName>
    <definedName name="mobilurban7" localSheetId="12">#REF!</definedName>
    <definedName name="mobilurban7" localSheetId="1">#REF!</definedName>
    <definedName name="mobilurban7" localSheetId="0">#REF!</definedName>
    <definedName name="mobilurban7">#REF!</definedName>
    <definedName name="mobilurban8" localSheetId="10">#REF!</definedName>
    <definedName name="mobilurban8" localSheetId="7">#REF!</definedName>
    <definedName name="mobilurban8" localSheetId="12">#REF!</definedName>
    <definedName name="mobilurban8" localSheetId="1">#REF!</definedName>
    <definedName name="mobilurban8" localSheetId="0">#REF!</definedName>
    <definedName name="mobilurban8">#REF!</definedName>
    <definedName name="mobilurban9" localSheetId="10">#REF!</definedName>
    <definedName name="mobilurban9" localSheetId="7">#REF!</definedName>
    <definedName name="mobilurban9" localSheetId="12">#REF!</definedName>
    <definedName name="mobilurban9" localSheetId="1">#REF!</definedName>
    <definedName name="mobilurban9" localSheetId="0">#REF!</definedName>
    <definedName name="mobilurban9">#REF!</definedName>
    <definedName name="otros_2" localSheetId="10">#REF!</definedName>
    <definedName name="otros_2" localSheetId="7">#REF!</definedName>
    <definedName name="otros_2" localSheetId="12">#REF!</definedName>
    <definedName name="otros_2" localSheetId="1">#REF!</definedName>
    <definedName name="otros_2" localSheetId="0">#REF!</definedName>
    <definedName name="otros_2">#REF!</definedName>
    <definedName name="otros_3" localSheetId="10">#REF!</definedName>
    <definedName name="otros_3" localSheetId="7">#REF!</definedName>
    <definedName name="otros_3" localSheetId="12">#REF!</definedName>
    <definedName name="otros_3" localSheetId="1">#REF!</definedName>
    <definedName name="otros_3" localSheetId="0">#REF!</definedName>
    <definedName name="otros_3">#REF!</definedName>
    <definedName name="p_1" localSheetId="10">#REF!</definedName>
    <definedName name="p_1" localSheetId="7">#REF!</definedName>
    <definedName name="p_1" localSheetId="12">#REF!</definedName>
    <definedName name="p_1" localSheetId="1">#REF!</definedName>
    <definedName name="p_1" localSheetId="0">#REF!</definedName>
    <definedName name="p_1">#REF!</definedName>
    <definedName name="p_10" localSheetId="10">#REF!</definedName>
    <definedName name="p_10" localSheetId="7">#REF!</definedName>
    <definedName name="p_10" localSheetId="12">#REF!</definedName>
    <definedName name="p_10" localSheetId="1">#REF!</definedName>
    <definedName name="p_10" localSheetId="0">#REF!</definedName>
    <definedName name="p_10">#REF!</definedName>
    <definedName name="p_11" localSheetId="10">#REF!</definedName>
    <definedName name="p_11" localSheetId="7">#REF!</definedName>
    <definedName name="p_11" localSheetId="12">#REF!</definedName>
    <definedName name="p_11" localSheetId="1">#REF!</definedName>
    <definedName name="p_11" localSheetId="0">#REF!</definedName>
    <definedName name="p_11">#REF!</definedName>
    <definedName name="p_12" localSheetId="10">#REF!</definedName>
    <definedName name="p_12" localSheetId="7">#REF!</definedName>
    <definedName name="p_12" localSheetId="12">#REF!</definedName>
    <definedName name="p_12" localSheetId="1">#REF!</definedName>
    <definedName name="p_12" localSheetId="0">#REF!</definedName>
    <definedName name="p_12">#REF!</definedName>
    <definedName name="p_13" localSheetId="10">#REF!</definedName>
    <definedName name="p_13" localSheetId="7">#REF!</definedName>
    <definedName name="p_13" localSheetId="12">#REF!</definedName>
    <definedName name="p_13" localSheetId="1">#REF!</definedName>
    <definedName name="p_13" localSheetId="0">#REF!</definedName>
    <definedName name="p_13">#REF!</definedName>
    <definedName name="p_14" localSheetId="10">#REF!</definedName>
    <definedName name="p_14" localSheetId="7">#REF!</definedName>
    <definedName name="p_14" localSheetId="12">#REF!</definedName>
    <definedName name="p_14" localSheetId="1">#REF!</definedName>
    <definedName name="p_14" localSheetId="0">#REF!</definedName>
    <definedName name="p_14">#REF!</definedName>
    <definedName name="p_15" localSheetId="10">#REF!</definedName>
    <definedName name="p_15" localSheetId="7">#REF!</definedName>
    <definedName name="p_15" localSheetId="12">#REF!</definedName>
    <definedName name="p_15" localSheetId="1">#REF!</definedName>
    <definedName name="p_15" localSheetId="0">#REF!</definedName>
    <definedName name="p_15">#REF!</definedName>
    <definedName name="p_16" localSheetId="10">#REF!</definedName>
    <definedName name="p_16" localSheetId="7">#REF!</definedName>
    <definedName name="p_16" localSheetId="12">#REF!</definedName>
    <definedName name="p_16" localSheetId="1">#REF!</definedName>
    <definedName name="p_16" localSheetId="0">#REF!</definedName>
    <definedName name="p_16">#REF!</definedName>
    <definedName name="p_17" localSheetId="10">#REF!</definedName>
    <definedName name="p_17" localSheetId="7">#REF!</definedName>
    <definedName name="p_17" localSheetId="12">#REF!</definedName>
    <definedName name="p_17" localSheetId="1">#REF!</definedName>
    <definedName name="p_17" localSheetId="0">#REF!</definedName>
    <definedName name="p_17">#REF!</definedName>
    <definedName name="p_2" localSheetId="10">#REF!</definedName>
    <definedName name="p_2" localSheetId="7">#REF!</definedName>
    <definedName name="p_2" localSheetId="12">#REF!</definedName>
    <definedName name="p_2" localSheetId="1">#REF!</definedName>
    <definedName name="p_2" localSheetId="0">#REF!</definedName>
    <definedName name="p_2">#REF!</definedName>
    <definedName name="p_3" localSheetId="10">#REF!</definedName>
    <definedName name="p_3" localSheetId="7">#REF!</definedName>
    <definedName name="p_3" localSheetId="12">#REF!</definedName>
    <definedName name="p_3" localSheetId="1">#REF!</definedName>
    <definedName name="p_3" localSheetId="0">#REF!</definedName>
    <definedName name="p_3">#REF!</definedName>
    <definedName name="p_4" localSheetId="10">#REF!</definedName>
    <definedName name="p_4" localSheetId="7">#REF!</definedName>
    <definedName name="p_4" localSheetId="12">#REF!</definedName>
    <definedName name="p_4" localSheetId="1">#REF!</definedName>
    <definedName name="p_4" localSheetId="0">#REF!</definedName>
    <definedName name="p_4">#REF!</definedName>
    <definedName name="p_5" localSheetId="10">#REF!</definedName>
    <definedName name="p_5" localSheetId="7">#REF!</definedName>
    <definedName name="p_5" localSheetId="12">#REF!</definedName>
    <definedName name="p_5" localSheetId="1">#REF!</definedName>
    <definedName name="p_5" localSheetId="0">#REF!</definedName>
    <definedName name="p_5">#REF!</definedName>
    <definedName name="p_6" localSheetId="10">#REF!</definedName>
    <definedName name="p_6" localSheetId="7">#REF!</definedName>
    <definedName name="p_6" localSheetId="12">#REF!</definedName>
    <definedName name="p_6" localSheetId="1">#REF!</definedName>
    <definedName name="p_6" localSheetId="0">#REF!</definedName>
    <definedName name="p_6">#REF!</definedName>
    <definedName name="p_7" localSheetId="10">#REF!</definedName>
    <definedName name="p_7" localSheetId="7">#REF!</definedName>
    <definedName name="p_7" localSheetId="12">#REF!</definedName>
    <definedName name="p_7" localSheetId="1">#REF!</definedName>
    <definedName name="p_7" localSheetId="0">#REF!</definedName>
    <definedName name="p_7">#REF!</definedName>
    <definedName name="p_8" localSheetId="10">#REF!</definedName>
    <definedName name="p_8" localSheetId="7">#REF!</definedName>
    <definedName name="p_8" localSheetId="12">#REF!</definedName>
    <definedName name="p_8" localSheetId="1">#REF!</definedName>
    <definedName name="p_8" localSheetId="0">#REF!</definedName>
    <definedName name="p_8">#REF!</definedName>
    <definedName name="p_9" localSheetId="10">#REF!</definedName>
    <definedName name="p_9" localSheetId="7">#REF!</definedName>
    <definedName name="p_9" localSheetId="12">#REF!</definedName>
    <definedName name="p_9" localSheetId="1">#REF!</definedName>
    <definedName name="p_9" localSheetId="0">#REF!</definedName>
    <definedName name="p_9">#REF!</definedName>
    <definedName name="pis_1" localSheetId="10">#REF!</definedName>
    <definedName name="pis_1" localSheetId="7">#REF!</definedName>
    <definedName name="pis_1" localSheetId="12">#REF!</definedName>
    <definedName name="pis_1" localSheetId="1">#REF!</definedName>
    <definedName name="pis_1" localSheetId="0">#REF!</definedName>
    <definedName name="pis_1">#REF!</definedName>
    <definedName name="pis_10" localSheetId="10">#REF!</definedName>
    <definedName name="pis_10" localSheetId="7">#REF!</definedName>
    <definedName name="pis_10" localSheetId="12">#REF!</definedName>
    <definedName name="pis_10" localSheetId="1">#REF!</definedName>
    <definedName name="pis_10" localSheetId="0">#REF!</definedName>
    <definedName name="pis_10">#REF!</definedName>
    <definedName name="pis_11" localSheetId="10">#REF!</definedName>
    <definedName name="pis_11" localSheetId="7">#REF!</definedName>
    <definedName name="pis_11" localSheetId="12">#REF!</definedName>
    <definedName name="pis_11" localSheetId="1">#REF!</definedName>
    <definedName name="pis_11" localSheetId="0">#REF!</definedName>
    <definedName name="pis_11">#REF!</definedName>
    <definedName name="pis_12" localSheetId="10">#REF!</definedName>
    <definedName name="pis_12" localSheetId="7">#REF!</definedName>
    <definedName name="pis_12" localSheetId="12">#REF!</definedName>
    <definedName name="pis_12" localSheetId="1">#REF!</definedName>
    <definedName name="pis_12" localSheetId="0">#REF!</definedName>
    <definedName name="pis_12">#REF!</definedName>
    <definedName name="pis_13" localSheetId="10">#REF!</definedName>
    <definedName name="pis_13" localSheetId="7">#REF!</definedName>
    <definedName name="pis_13" localSheetId="12">#REF!</definedName>
    <definedName name="pis_13" localSheetId="1">#REF!</definedName>
    <definedName name="pis_13" localSheetId="0">#REF!</definedName>
    <definedName name="pis_13">#REF!</definedName>
    <definedName name="pis_14" localSheetId="10">#REF!</definedName>
    <definedName name="pis_14" localSheetId="7">#REF!</definedName>
    <definedName name="pis_14" localSheetId="12">#REF!</definedName>
    <definedName name="pis_14" localSheetId="1">#REF!</definedName>
    <definedName name="pis_14" localSheetId="0">#REF!</definedName>
    <definedName name="pis_14">#REF!</definedName>
    <definedName name="pis_15" localSheetId="10">#REF!</definedName>
    <definedName name="pis_15" localSheetId="7">#REF!</definedName>
    <definedName name="pis_15" localSheetId="12">#REF!</definedName>
    <definedName name="pis_15" localSheetId="1">#REF!</definedName>
    <definedName name="pis_15" localSheetId="0">#REF!</definedName>
    <definedName name="pis_15">#REF!</definedName>
    <definedName name="pis_16" localSheetId="10">#REF!</definedName>
    <definedName name="pis_16" localSheetId="7">#REF!</definedName>
    <definedName name="pis_16" localSheetId="12">#REF!</definedName>
    <definedName name="pis_16" localSheetId="1">#REF!</definedName>
    <definedName name="pis_16" localSheetId="0">#REF!</definedName>
    <definedName name="pis_16">#REF!</definedName>
    <definedName name="pis_17" localSheetId="10">#REF!</definedName>
    <definedName name="pis_17" localSheetId="7">#REF!</definedName>
    <definedName name="pis_17" localSheetId="12">#REF!</definedName>
    <definedName name="pis_17" localSheetId="1">#REF!</definedName>
    <definedName name="pis_17" localSheetId="0">#REF!</definedName>
    <definedName name="pis_17">#REF!</definedName>
    <definedName name="pis_18" localSheetId="10">#REF!</definedName>
    <definedName name="pis_18" localSheetId="7">#REF!</definedName>
    <definedName name="pis_18" localSheetId="12">#REF!</definedName>
    <definedName name="pis_18" localSheetId="1">#REF!</definedName>
    <definedName name="pis_18" localSheetId="0">#REF!</definedName>
    <definedName name="pis_18">#REF!</definedName>
    <definedName name="pis_19" localSheetId="10">#REF!</definedName>
    <definedName name="pis_19" localSheetId="7">#REF!</definedName>
    <definedName name="pis_19" localSheetId="12">#REF!</definedName>
    <definedName name="pis_19" localSheetId="1">#REF!</definedName>
    <definedName name="pis_19" localSheetId="0">#REF!</definedName>
    <definedName name="pis_19">#REF!</definedName>
    <definedName name="pis_2" localSheetId="10">#REF!</definedName>
    <definedName name="pis_2" localSheetId="7">#REF!</definedName>
    <definedName name="pis_2" localSheetId="12">#REF!</definedName>
    <definedName name="pis_2" localSheetId="1">#REF!</definedName>
    <definedName name="pis_2" localSheetId="0">#REF!</definedName>
    <definedName name="pis_2">#REF!</definedName>
    <definedName name="pis_20" localSheetId="10">#REF!</definedName>
    <definedName name="pis_20" localSheetId="7">#REF!</definedName>
    <definedName name="pis_20" localSheetId="12">#REF!</definedName>
    <definedName name="pis_20" localSheetId="1">#REF!</definedName>
    <definedName name="pis_20" localSheetId="0">#REF!</definedName>
    <definedName name="pis_20">#REF!</definedName>
    <definedName name="pis_21" localSheetId="10">#REF!</definedName>
    <definedName name="pis_21" localSheetId="7">#REF!</definedName>
    <definedName name="pis_21" localSheetId="12">#REF!</definedName>
    <definedName name="pis_21" localSheetId="1">#REF!</definedName>
    <definedName name="pis_21" localSheetId="0">#REF!</definedName>
    <definedName name="pis_21">#REF!</definedName>
    <definedName name="pis_22" localSheetId="10">#REF!</definedName>
    <definedName name="pis_22" localSheetId="7">#REF!</definedName>
    <definedName name="pis_22" localSheetId="12">#REF!</definedName>
    <definedName name="pis_22" localSheetId="1">#REF!</definedName>
    <definedName name="pis_22" localSheetId="0">#REF!</definedName>
    <definedName name="pis_22">#REF!</definedName>
    <definedName name="pis_23" localSheetId="10">#REF!</definedName>
    <definedName name="pis_23" localSheetId="7">#REF!</definedName>
    <definedName name="pis_23" localSheetId="12">#REF!</definedName>
    <definedName name="pis_23" localSheetId="1">#REF!</definedName>
    <definedName name="pis_23" localSheetId="0">#REF!</definedName>
    <definedName name="pis_23">#REF!</definedName>
    <definedName name="pis_24" localSheetId="10">#REF!</definedName>
    <definedName name="pis_24" localSheetId="7">#REF!</definedName>
    <definedName name="pis_24" localSheetId="12">#REF!</definedName>
    <definedName name="pis_24" localSheetId="1">#REF!</definedName>
    <definedName name="pis_24" localSheetId="0">#REF!</definedName>
    <definedName name="pis_24">#REF!</definedName>
    <definedName name="pis_25" localSheetId="10">#REF!</definedName>
    <definedName name="pis_25" localSheetId="7">#REF!</definedName>
    <definedName name="pis_25" localSheetId="12">#REF!</definedName>
    <definedName name="pis_25" localSheetId="1">#REF!</definedName>
    <definedName name="pis_25" localSheetId="0">#REF!</definedName>
    <definedName name="pis_25">#REF!</definedName>
    <definedName name="pis_267" localSheetId="10">#REF!</definedName>
    <definedName name="pis_267" localSheetId="7">#REF!</definedName>
    <definedName name="pis_267" localSheetId="12">#REF!</definedName>
    <definedName name="pis_267" localSheetId="1">#REF!</definedName>
    <definedName name="pis_267" localSheetId="0">#REF!</definedName>
    <definedName name="pis_267">#REF!</definedName>
    <definedName name="pis_27" localSheetId="10">#REF!</definedName>
    <definedName name="pis_27" localSheetId="7">#REF!</definedName>
    <definedName name="pis_27" localSheetId="12">#REF!</definedName>
    <definedName name="pis_27" localSheetId="1">#REF!</definedName>
    <definedName name="pis_27" localSheetId="0">#REF!</definedName>
    <definedName name="pis_27">#REF!</definedName>
    <definedName name="pis_28" localSheetId="10">#REF!</definedName>
    <definedName name="pis_28" localSheetId="7">#REF!</definedName>
    <definedName name="pis_28" localSheetId="12">#REF!</definedName>
    <definedName name="pis_28" localSheetId="1">#REF!</definedName>
    <definedName name="pis_28" localSheetId="0">#REF!</definedName>
    <definedName name="pis_28">#REF!</definedName>
    <definedName name="pis_29" localSheetId="10">#REF!</definedName>
    <definedName name="pis_29" localSheetId="7">#REF!</definedName>
    <definedName name="pis_29" localSheetId="12">#REF!</definedName>
    <definedName name="pis_29" localSheetId="1">#REF!</definedName>
    <definedName name="pis_29" localSheetId="0">#REF!</definedName>
    <definedName name="pis_29">#REF!</definedName>
    <definedName name="pis_3" localSheetId="10">#REF!</definedName>
    <definedName name="pis_3" localSheetId="7">#REF!</definedName>
    <definedName name="pis_3" localSheetId="12">#REF!</definedName>
    <definedName name="pis_3" localSheetId="1">#REF!</definedName>
    <definedName name="pis_3" localSheetId="0">#REF!</definedName>
    <definedName name="pis_3">#REF!</definedName>
    <definedName name="pis_30" localSheetId="10">#REF!</definedName>
    <definedName name="pis_30" localSheetId="7">#REF!</definedName>
    <definedName name="pis_30" localSheetId="12">#REF!</definedName>
    <definedName name="pis_30" localSheetId="1">#REF!</definedName>
    <definedName name="pis_30" localSheetId="0">#REF!</definedName>
    <definedName name="pis_30">#REF!</definedName>
    <definedName name="pis_31" localSheetId="10">#REF!</definedName>
    <definedName name="pis_31" localSheetId="7">#REF!</definedName>
    <definedName name="pis_31" localSheetId="12">#REF!</definedName>
    <definedName name="pis_31" localSheetId="1">#REF!</definedName>
    <definedName name="pis_31" localSheetId="0">#REF!</definedName>
    <definedName name="pis_31">#REF!</definedName>
    <definedName name="pis_32" localSheetId="10">#REF!</definedName>
    <definedName name="pis_32" localSheetId="7">#REF!</definedName>
    <definedName name="pis_32" localSheetId="12">#REF!</definedName>
    <definedName name="pis_32" localSheetId="1">#REF!</definedName>
    <definedName name="pis_32" localSheetId="0">#REF!</definedName>
    <definedName name="pis_32">#REF!</definedName>
    <definedName name="pis_33" localSheetId="10">#REF!</definedName>
    <definedName name="pis_33" localSheetId="7">#REF!</definedName>
    <definedName name="pis_33" localSheetId="12">#REF!</definedName>
    <definedName name="pis_33" localSheetId="1">#REF!</definedName>
    <definedName name="pis_33" localSheetId="0">#REF!</definedName>
    <definedName name="pis_33">#REF!</definedName>
    <definedName name="pis_34" localSheetId="10">#REF!</definedName>
    <definedName name="pis_34" localSheetId="7">#REF!</definedName>
    <definedName name="pis_34" localSheetId="12">#REF!</definedName>
    <definedName name="pis_34" localSheetId="1">#REF!</definedName>
    <definedName name="pis_34" localSheetId="0">#REF!</definedName>
    <definedName name="pis_34">#REF!</definedName>
    <definedName name="pis_4" localSheetId="10">#REF!</definedName>
    <definedName name="pis_4" localSheetId="7">#REF!</definedName>
    <definedName name="pis_4" localSheetId="12">#REF!</definedName>
    <definedName name="pis_4" localSheetId="1">#REF!</definedName>
    <definedName name="pis_4" localSheetId="0">#REF!</definedName>
    <definedName name="pis_4">#REF!</definedName>
    <definedName name="pis_5" localSheetId="10">#REF!</definedName>
    <definedName name="pis_5" localSheetId="7">#REF!</definedName>
    <definedName name="pis_5" localSheetId="12">#REF!</definedName>
    <definedName name="pis_5" localSheetId="1">#REF!</definedName>
    <definedName name="pis_5" localSheetId="0">#REF!</definedName>
    <definedName name="pis_5">#REF!</definedName>
    <definedName name="pis_6" localSheetId="10">#REF!</definedName>
    <definedName name="pis_6" localSheetId="7">#REF!</definedName>
    <definedName name="pis_6" localSheetId="12">#REF!</definedName>
    <definedName name="pis_6" localSheetId="1">#REF!</definedName>
    <definedName name="pis_6" localSheetId="0">#REF!</definedName>
    <definedName name="pis_6">#REF!</definedName>
    <definedName name="pis_8" localSheetId="10">#REF!</definedName>
    <definedName name="pis_8" localSheetId="7">#REF!</definedName>
    <definedName name="pis_8" localSheetId="12">#REF!</definedName>
    <definedName name="pis_8" localSheetId="1">#REF!</definedName>
    <definedName name="pis_8" localSheetId="0">#REF!</definedName>
    <definedName name="pis_8">#REF!</definedName>
    <definedName name="pis_9" localSheetId="10">#REF!</definedName>
    <definedName name="pis_9" localSheetId="7">#REF!</definedName>
    <definedName name="pis_9" localSheetId="12">#REF!</definedName>
    <definedName name="pis_9" localSheetId="1">#REF!</definedName>
    <definedName name="pis_9" localSheetId="0">#REF!</definedName>
    <definedName name="pis_9">#REF!</definedName>
    <definedName name="Placa_maciza_h0.08" localSheetId="10">#REF!</definedName>
    <definedName name="Placa_maciza_h0.08" localSheetId="7">#REF!</definedName>
    <definedName name="Placa_maciza_h0.08" localSheetId="12">#REF!</definedName>
    <definedName name="Placa_maciza_h0.08" localSheetId="1">#REF!</definedName>
    <definedName name="Placa_maciza_h0.08" localSheetId="0">#REF!</definedName>
    <definedName name="Placa_maciza_h0.08">#REF!</definedName>
    <definedName name="prelim_41" localSheetId="10">#REF!</definedName>
    <definedName name="prelim_41" localSheetId="7">#REF!</definedName>
    <definedName name="prelim_41" localSheetId="12">#REF!</definedName>
    <definedName name="prelim_41" localSheetId="1">#REF!</definedName>
    <definedName name="prelim_41" localSheetId="0">#REF!</definedName>
    <definedName name="prelim_41">#REF!</definedName>
    <definedName name="Punt_pvc_agua_1_2_ducha" localSheetId="10">#REF!</definedName>
    <definedName name="Punt_pvc_agua_1_2_ducha" localSheetId="7">#REF!</definedName>
    <definedName name="Punt_pvc_agua_1_2_ducha" localSheetId="12">#REF!</definedName>
    <definedName name="Punt_pvc_agua_1_2_ducha" localSheetId="1">#REF!</definedName>
    <definedName name="Punt_pvc_agua_1_2_ducha" localSheetId="0">#REF!</definedName>
    <definedName name="Punt_pvc_agua_1_2_ducha">#REF!</definedName>
    <definedName name="Punt_pvc_agua_1_2_lavam" localSheetId="10">#REF!</definedName>
    <definedName name="Punt_pvc_agua_1_2_lavam" localSheetId="7">#REF!</definedName>
    <definedName name="Punt_pvc_agua_1_2_lavam" localSheetId="12">#REF!</definedName>
    <definedName name="Punt_pvc_agua_1_2_lavam" localSheetId="1">#REF!</definedName>
    <definedName name="Punt_pvc_agua_1_2_lavam" localSheetId="0">#REF!</definedName>
    <definedName name="Punt_pvc_agua_1_2_lavam">#REF!</definedName>
    <definedName name="Red_sumin_pvc_2" localSheetId="10">#REF!</definedName>
    <definedName name="Red_sumin_pvc_2" localSheetId="7">#REF!</definedName>
    <definedName name="Red_sumin_pvc_2" localSheetId="12">#REF!</definedName>
    <definedName name="Red_sumin_pvc_2" localSheetId="1">#REF!</definedName>
    <definedName name="Red_sumin_pvc_2" localSheetId="0">#REF!</definedName>
    <definedName name="Red_sumin_pvc_2">#REF!</definedName>
    <definedName name="Sum_inst_red_hidr_pvc_1" localSheetId="10">#REF!</definedName>
    <definedName name="Sum_inst_red_hidr_pvc_1" localSheetId="7">#REF!</definedName>
    <definedName name="Sum_inst_red_hidr_pvc_1" localSheetId="12">#REF!</definedName>
    <definedName name="Sum_inst_red_hidr_pvc_1" localSheetId="1">#REF!</definedName>
    <definedName name="Sum_inst_red_hidr_pvc_1" localSheetId="0">#REF!</definedName>
    <definedName name="Sum_inst_red_hidr_pvc_1">#REF!</definedName>
    <definedName name="Sum_inst_red_hidr_pvc_1_2" localSheetId="10">#REF!</definedName>
    <definedName name="Sum_inst_red_hidr_pvc_1_2" localSheetId="7">#REF!</definedName>
    <definedName name="Sum_inst_red_hidr_pvc_1_2" localSheetId="12">#REF!</definedName>
    <definedName name="Sum_inst_red_hidr_pvc_1_2" localSheetId="1">#REF!</definedName>
    <definedName name="Sum_inst_red_hidr_pvc_1_2" localSheetId="0">#REF!</definedName>
    <definedName name="Sum_inst_red_hidr_pvc_1_2">#REF!</definedName>
    <definedName name="Sum_inst_red_hidrau_pvc_3_4" localSheetId="10">#REF!</definedName>
    <definedName name="Sum_inst_red_hidrau_pvc_3_4" localSheetId="7">#REF!</definedName>
    <definedName name="Sum_inst_red_hidrau_pvc_3_4" localSheetId="12">#REF!</definedName>
    <definedName name="Sum_inst_red_hidrau_pvc_3_4" localSheetId="1">#REF!</definedName>
    <definedName name="Sum_inst_red_hidrau_pvc_3_4" localSheetId="0">#REF!</definedName>
    <definedName name="Sum_inst_red_hidrau_pvc_3_4">#REF!</definedName>
    <definedName name="Sum_inst_tanq_elev_ac_1000" localSheetId="10">#REF!</definedName>
    <definedName name="Sum_inst_tanq_elev_ac_1000" localSheetId="7">#REF!</definedName>
    <definedName name="Sum_inst_tanq_elev_ac_1000" localSheetId="12">#REF!</definedName>
    <definedName name="Sum_inst_tanq_elev_ac_1000" localSheetId="1">#REF!</definedName>
    <definedName name="Sum_inst_tanq_elev_ac_1000" localSheetId="0">#REF!</definedName>
    <definedName name="Sum_inst_tanq_elev_ac_1000">#REF!</definedName>
    <definedName name="Sum_inst_tanq_elev_ac_250" localSheetId="10">#REF!</definedName>
    <definedName name="Sum_inst_tanq_elev_ac_250" localSheetId="7">#REF!</definedName>
    <definedName name="Sum_inst_tanq_elev_ac_250" localSheetId="12">#REF!</definedName>
    <definedName name="Sum_inst_tanq_elev_ac_250" localSheetId="1">#REF!</definedName>
    <definedName name="Sum_inst_tanq_elev_ac_250" localSheetId="0">#REF!</definedName>
    <definedName name="Sum_inst_tanq_elev_ac_250">#REF!</definedName>
    <definedName name="Sum_inst_tanq_elev_ac_500" localSheetId="10">#REF!</definedName>
    <definedName name="Sum_inst_tanq_elev_ac_500" localSheetId="7">#REF!</definedName>
    <definedName name="Sum_inst_tanq_elev_ac_500" localSheetId="12">#REF!</definedName>
    <definedName name="Sum_inst_tanq_elev_ac_500" localSheetId="1">#REF!</definedName>
    <definedName name="Sum_inst_tanq_elev_ac_500" localSheetId="0">#REF!</definedName>
    <definedName name="Sum_inst_tanq_elev_ac_500">#REF!</definedName>
    <definedName name="Sum_inst_tanq_elev_plast_1000" localSheetId="10">#REF!</definedName>
    <definedName name="Sum_inst_tanq_elev_plast_1000" localSheetId="7">#REF!</definedName>
    <definedName name="Sum_inst_tanq_elev_plast_1000" localSheetId="12">#REF!</definedName>
    <definedName name="Sum_inst_tanq_elev_plast_1000" localSheetId="1">#REF!</definedName>
    <definedName name="Sum_inst_tanq_elev_plast_1000" localSheetId="0">#REF!</definedName>
    <definedName name="Sum_inst_tanq_elev_plast_1000">#REF!</definedName>
    <definedName name="Sum_inst_tanq_elev_plast_250" localSheetId="10">#REF!</definedName>
    <definedName name="Sum_inst_tanq_elev_plast_250" localSheetId="7">#REF!</definedName>
    <definedName name="Sum_inst_tanq_elev_plast_250" localSheetId="12">#REF!</definedName>
    <definedName name="Sum_inst_tanq_elev_plast_250" localSheetId="1">#REF!</definedName>
    <definedName name="Sum_inst_tanq_elev_plast_250" localSheetId="0">#REF!</definedName>
    <definedName name="Sum_inst_tanq_elev_plast_250">#REF!</definedName>
    <definedName name="Sum_inst_tanq_elev_plast_500" localSheetId="10">#REF!</definedName>
    <definedName name="Sum_inst_tanq_elev_plast_500" localSheetId="7">#REF!</definedName>
    <definedName name="Sum_inst_tanq_elev_plast_500" localSheetId="12">#REF!</definedName>
    <definedName name="Sum_inst_tanq_elev_plast_500" localSheetId="1">#REF!</definedName>
    <definedName name="Sum_inst_tanq_elev_plast_500" localSheetId="0">#REF!</definedName>
    <definedName name="Sum_inst_tanq_elev_plast_500">#REF!</definedName>
    <definedName name="Sumin_inst_llav_registr_3_4" localSheetId="10">#REF!</definedName>
    <definedName name="Sumin_inst_llav_registr_3_4" localSheetId="7">#REF!</definedName>
    <definedName name="Sumin_inst_llav_registr_3_4" localSheetId="12">#REF!</definedName>
    <definedName name="Sumin_inst_llav_registr_3_4" localSheetId="1">#REF!</definedName>
    <definedName name="Sumin_inst_llav_registr_3_4" localSheetId="0">#REF!</definedName>
    <definedName name="Sumin_inst_llav_registr_3_4">#REF!</definedName>
    <definedName name="Suminis_inst_red_sanit_pvc2" localSheetId="10">#REF!</definedName>
    <definedName name="Suminis_inst_red_sanit_pvc2" localSheetId="7">#REF!</definedName>
    <definedName name="Suminis_inst_red_sanit_pvc2" localSheetId="12">#REF!</definedName>
    <definedName name="Suminis_inst_red_sanit_pvc2" localSheetId="1">#REF!</definedName>
    <definedName name="Suminis_inst_red_sanit_pvc2" localSheetId="0">#REF!</definedName>
    <definedName name="Suminis_inst_red_sanit_pvc2">#REF!</definedName>
    <definedName name="Suminist_instal_rejilla_piso" localSheetId="10">#REF!</definedName>
    <definedName name="Suminist_instal_rejilla_piso" localSheetId="7">#REF!</definedName>
    <definedName name="Suminist_instal_rejilla_piso" localSheetId="12">#REF!</definedName>
    <definedName name="Suminist_instal_rejilla_piso" localSheetId="1">#REF!</definedName>
    <definedName name="Suminist_instal_rejilla_piso" localSheetId="0">#REF!</definedName>
    <definedName name="Suminist_instal_rejilla_piso">#REF!</definedName>
    <definedName name="Sumn_inst_red_sanit_pvc4" localSheetId="10">#REF!</definedName>
    <definedName name="Sumn_inst_red_sanit_pvc4" localSheetId="7">#REF!</definedName>
    <definedName name="Sumn_inst_red_sanit_pvc4" localSheetId="12">#REF!</definedName>
    <definedName name="Sumn_inst_red_sanit_pvc4" localSheetId="1">#REF!</definedName>
    <definedName name="Sumn_inst_red_sanit_pvc4" localSheetId="0">#REF!</definedName>
    <definedName name="Sumn_inst_red_sanit_pvc4">#REF!</definedName>
    <definedName name="Sumn_inst_red_sanit_pvc6" localSheetId="10">#REF!</definedName>
    <definedName name="Sumn_inst_red_sanit_pvc6" localSheetId="7">#REF!</definedName>
    <definedName name="Sumn_inst_red_sanit_pvc6" localSheetId="12">#REF!</definedName>
    <definedName name="Sumn_inst_red_sanit_pvc6" localSheetId="1">#REF!</definedName>
    <definedName name="Sumn_inst_red_sanit_pvc6" localSheetId="0">#REF!</definedName>
    <definedName name="Sumn_inst_red_sanit_pvc6">#REF!</definedName>
    <definedName name="TEC" localSheetId="6">[1]PERSTECNI!$A$2:$A$15</definedName>
    <definedName name="TEC">[1]PERSTECNI!$A$2:$A$15</definedName>
    <definedName name="_xlnm.Print_Titles" localSheetId="2">'Ppto Detallado 2016-2019'!$1:$1</definedName>
    <definedName name="_xlnm.Print_Titles" localSheetId="1">'Ppto Detallado 2017'!$1:$1</definedName>
    <definedName name="_xlnm.Print_Titles" localSheetId="0">'Ppto Ejecutado 2016'!$1:$1</definedName>
    <definedName name="TRANS" localSheetId="6">[1]TRANS!$A$1:$A$65536</definedName>
    <definedName name="TRANS">[1]TRANS!$A$1:$A$65536</definedName>
    <definedName name="Tuber_aguas_negr_pvc3" localSheetId="10">#REF!</definedName>
    <definedName name="Tuber_aguas_negr_pvc3" localSheetId="7">#REF!</definedName>
    <definedName name="Tuber_aguas_negr_pvc3" localSheetId="12">#REF!</definedName>
    <definedName name="Tuber_aguas_negr_pvc3" localSheetId="1">#REF!</definedName>
    <definedName name="Tuber_aguas_negr_pvc3" localSheetId="0">#REF!</definedName>
    <definedName name="Tuber_aguas_negr_pvc3">#REF!</definedName>
    <definedName name="Tuberia_ag_lluv_pvc_3" localSheetId="10">#REF!</definedName>
    <definedName name="Tuberia_ag_lluv_pvc_3" localSheetId="7">#REF!</definedName>
    <definedName name="Tuberia_ag_lluv_pvc_3" localSheetId="12">#REF!</definedName>
    <definedName name="Tuberia_ag_lluv_pvc_3" localSheetId="1">#REF!</definedName>
    <definedName name="Tuberia_ag_lluv_pvc_3" localSheetId="0">#REF!</definedName>
    <definedName name="Tuberia_ag_lluv_pvc_3">#REF!</definedName>
    <definedName name="Tuberia_revintila_pvc3" localSheetId="10">#REF!</definedName>
    <definedName name="Tuberia_revintila_pvc3" localSheetId="7">#REF!</definedName>
    <definedName name="Tuberia_revintila_pvc3" localSheetId="12">#REF!</definedName>
    <definedName name="Tuberia_revintila_pvc3" localSheetId="1">#REF!</definedName>
    <definedName name="Tuberia_revintila_pvc3" localSheetId="0">#REF!</definedName>
    <definedName name="Tuberia_revintila_pvc3">#REF!</definedName>
    <definedName name="vias2" localSheetId="10">#REF!</definedName>
    <definedName name="vias2" localSheetId="7">#REF!</definedName>
    <definedName name="vias2" localSheetId="12">#REF!</definedName>
    <definedName name="vias2" localSheetId="1">#REF!</definedName>
    <definedName name="vias2" localSheetId="0">#REF!</definedName>
    <definedName name="vias2">#REF!</definedName>
    <definedName name="vias3" localSheetId="10">#REF!</definedName>
    <definedName name="vias3" localSheetId="7">#REF!</definedName>
    <definedName name="vias3" localSheetId="12">#REF!</definedName>
    <definedName name="vias3" localSheetId="1">#REF!</definedName>
    <definedName name="vias3" localSheetId="0">#REF!</definedName>
    <definedName name="vias3">#REF!</definedName>
    <definedName name="vias4" localSheetId="10">#REF!</definedName>
    <definedName name="vias4" localSheetId="7">#REF!</definedName>
    <definedName name="vias4" localSheetId="12">#REF!</definedName>
    <definedName name="vias4" localSheetId="1">#REF!</definedName>
    <definedName name="vias4" localSheetId="0">#REF!</definedName>
    <definedName name="vias4">#REF!</definedName>
    <definedName name="vias5" localSheetId="10">#REF!</definedName>
    <definedName name="vias5" localSheetId="7">#REF!</definedName>
    <definedName name="vias5" localSheetId="12">#REF!</definedName>
    <definedName name="vias5" localSheetId="1">#REF!</definedName>
    <definedName name="vias5" localSheetId="0">#REF!</definedName>
    <definedName name="vias5">#REF!</definedName>
    <definedName name="vias6" localSheetId="10">#REF!</definedName>
    <definedName name="vias6" localSheetId="7">#REF!</definedName>
    <definedName name="vias6" localSheetId="12">#REF!</definedName>
    <definedName name="vias6" localSheetId="1">#REF!</definedName>
    <definedName name="vias6" localSheetId="0">#REF!</definedName>
    <definedName name="vias6">#REF!</definedName>
    <definedName name="vias7" localSheetId="10">#REF!</definedName>
    <definedName name="vias7" localSheetId="7">#REF!</definedName>
    <definedName name="vias7" localSheetId="12">#REF!</definedName>
    <definedName name="vias7" localSheetId="1">#REF!</definedName>
    <definedName name="vias7" localSheetId="0">#REF!</definedName>
    <definedName name="vias7">#REF!</definedName>
    <definedName name="vias8" localSheetId="10">#REF!</definedName>
    <definedName name="vias8" localSheetId="7">#REF!</definedName>
    <definedName name="vias8" localSheetId="12">#REF!</definedName>
    <definedName name="vias8" localSheetId="1">#REF!</definedName>
    <definedName name="vias8" localSheetId="0">#REF!</definedName>
    <definedName name="vias8">#REF!</definedName>
    <definedName name="vias9" localSheetId="10">#REF!</definedName>
    <definedName name="vias9" localSheetId="7">#REF!</definedName>
    <definedName name="vias9" localSheetId="12">#REF!</definedName>
    <definedName name="vias9" localSheetId="1">#REF!</definedName>
    <definedName name="vias9" localSheetId="0">#REF!</definedName>
    <definedName name="vias9">#REF!</definedName>
    <definedName name="Viga_0.20x0.36" localSheetId="10">#REF!</definedName>
    <definedName name="Viga_0.20x0.36" localSheetId="7">#REF!</definedName>
    <definedName name="Viga_0.20x0.36" localSheetId="12">#REF!</definedName>
    <definedName name="Viga_0.20x0.36" localSheetId="1">#REF!</definedName>
    <definedName name="Viga_0.20x0.36" localSheetId="0">#REF!</definedName>
    <definedName name="Viga_0.20x0.36">#REF!</definedName>
    <definedName name="Viga_aerea_0.10x0.20" localSheetId="10">#REF!</definedName>
    <definedName name="Viga_aerea_0.10x0.20" localSheetId="7">#REF!</definedName>
    <definedName name="Viga_aerea_0.10x0.20" localSheetId="12">#REF!</definedName>
    <definedName name="Viga_aerea_0.10x0.20" localSheetId="1">#REF!</definedName>
    <definedName name="Viga_aerea_0.10x0.20" localSheetId="0">#REF!</definedName>
    <definedName name="Viga_aerea_0.10x0.20">#REF!</definedName>
    <definedName name="Viga_amarre_0.12x0.20" localSheetId="10">#REF!</definedName>
    <definedName name="Viga_amarre_0.12x0.20" localSheetId="7">#REF!</definedName>
    <definedName name="Viga_amarre_0.12x0.20" localSheetId="12">#REF!</definedName>
    <definedName name="Viga_amarre_0.12x0.20" localSheetId="1">#REF!</definedName>
    <definedName name="Viga_amarre_0.12x0.20" localSheetId="0">#REF!</definedName>
    <definedName name="Viga_amarre_0.12x0.20">#REF!</definedName>
    <definedName name="Viga_amarre_0.12x0.25" localSheetId="10">#REF!</definedName>
    <definedName name="Viga_amarre_0.12x0.25" localSheetId="7">#REF!</definedName>
    <definedName name="Viga_amarre_0.12x0.25" localSheetId="12">#REF!</definedName>
    <definedName name="Viga_amarre_0.12x0.25" localSheetId="1">#REF!</definedName>
    <definedName name="Viga_amarre_0.12x0.25" localSheetId="0">#REF!</definedName>
    <definedName name="Viga_amarre_0.12x0.25">#REF!</definedName>
    <definedName name="Viga_amarre_0.12x0.30" localSheetId="10">#REF!</definedName>
    <definedName name="Viga_amarre_0.12x0.30" localSheetId="7">#REF!</definedName>
    <definedName name="Viga_amarre_0.12x0.30" localSheetId="12">#REF!</definedName>
    <definedName name="Viga_amarre_0.12x0.30" localSheetId="1">#REF!</definedName>
    <definedName name="Viga_amarre_0.12x0.30" localSheetId="0">#REF!</definedName>
    <definedName name="Viga_amarre_0.12x0.30">#REF!</definedName>
    <definedName name="Viga_amarre_0.12x0.30_4" localSheetId="10">#REF!</definedName>
    <definedName name="Viga_amarre_0.12x0.30_4" localSheetId="7">#REF!</definedName>
    <definedName name="Viga_amarre_0.12x0.30_4" localSheetId="12">#REF!</definedName>
    <definedName name="Viga_amarre_0.12x0.30_4" localSheetId="1">#REF!</definedName>
    <definedName name="Viga_amarre_0.12x0.30_4" localSheetId="0">#REF!</definedName>
    <definedName name="Viga_amarre_0.12x0.30_4">#REF!</definedName>
    <definedName name="Viga_amarre_0.15x0.30" localSheetId="10">#REF!</definedName>
    <definedName name="Viga_amarre_0.15x0.30" localSheetId="7">#REF!</definedName>
    <definedName name="Viga_amarre_0.15x0.30" localSheetId="12">#REF!</definedName>
    <definedName name="Viga_amarre_0.15x0.30" localSheetId="1">#REF!</definedName>
    <definedName name="Viga_amarre_0.15x0.30" localSheetId="0">#REF!</definedName>
    <definedName name="Viga_amarre_0.15x0.30">#REF!</definedName>
    <definedName name="Viga_amarre_0.20x0.25" localSheetId="10">#REF!</definedName>
    <definedName name="Viga_amarre_0.20x0.25" localSheetId="7">#REF!</definedName>
    <definedName name="Viga_amarre_0.20x0.25" localSheetId="12">#REF!</definedName>
    <definedName name="Viga_amarre_0.20x0.25" localSheetId="1">#REF!</definedName>
    <definedName name="Viga_amarre_0.20x0.25" localSheetId="0">#REF!</definedName>
    <definedName name="Viga_amarre_0.20x0.25">#REF!</definedName>
    <definedName name="Viga_correa_0.08x0.20" localSheetId="10">#REF!</definedName>
    <definedName name="Viga_correa_0.08x0.20" localSheetId="7">#REF!</definedName>
    <definedName name="Viga_correa_0.08x0.20" localSheetId="12">#REF!</definedName>
    <definedName name="Viga_correa_0.08x0.20" localSheetId="1">#REF!</definedName>
    <definedName name="Viga_correa_0.08x0.20" localSheetId="0">#REF!</definedName>
    <definedName name="Viga_correa_0.08x0.20">#REF!</definedName>
  </definedNames>
  <calcPr calcId="152511"/>
</workbook>
</file>

<file path=xl/calcChain.xml><?xml version="1.0" encoding="utf-8"?>
<calcChain xmlns="http://schemas.openxmlformats.org/spreadsheetml/2006/main">
  <c r="D30" i="51" l="1"/>
  <c r="D17" i="51"/>
  <c r="E13" i="51"/>
  <c r="G10" i="56"/>
  <c r="F40" i="56"/>
  <c r="F39" i="56"/>
  <c r="F35" i="56"/>
  <c r="G35" i="56" s="1"/>
  <c r="G36" i="56" s="1"/>
  <c r="F28" i="56"/>
  <c r="G28" i="56" s="1"/>
  <c r="F22" i="56"/>
  <c r="G22" i="56" s="1"/>
  <c r="G23" i="56" s="1"/>
  <c r="G16" i="56"/>
  <c r="G13" i="56"/>
  <c r="G17" i="56"/>
  <c r="K32" i="55"/>
  <c r="L28" i="55"/>
  <c r="L27" i="55"/>
  <c r="L29" i="55" l="1"/>
  <c r="G27" i="55"/>
  <c r="G20" i="55"/>
  <c r="L20" i="55"/>
  <c r="K33" i="55"/>
  <c r="G28" i="55"/>
  <c r="G29" i="55" s="1"/>
  <c r="G16" i="55"/>
  <c r="L15" i="55"/>
  <c r="G15" i="55"/>
  <c r="L11" i="55"/>
  <c r="L21" i="55" s="1"/>
  <c r="L30" i="55" s="1"/>
  <c r="G32" i="55" s="1"/>
  <c r="G11" i="55"/>
  <c r="G21" i="55" s="1"/>
  <c r="G30" i="55" s="1"/>
  <c r="V13" i="3"/>
  <c r="V10" i="3"/>
  <c r="L13" i="3"/>
  <c r="L10" i="3"/>
  <c r="G33" i="3"/>
  <c r="P14" i="3"/>
  <c r="Q14" i="3" s="1"/>
  <c r="K17" i="3"/>
  <c r="L17" i="3" s="1"/>
  <c r="P10" i="3"/>
  <c r="Q10" i="3" s="1"/>
  <c r="P13" i="3"/>
  <c r="Q13" i="3" s="1"/>
  <c r="L18" i="3" l="1"/>
  <c r="P17" i="3"/>
  <c r="U14" i="3"/>
  <c r="V14" i="3" s="1"/>
  <c r="G14" i="3"/>
  <c r="G13" i="3"/>
  <c r="G10" i="3"/>
  <c r="G17" i="3"/>
  <c r="G18" i="3" l="1"/>
  <c r="U17" i="3"/>
  <c r="V17" i="3" s="1"/>
  <c r="V18" i="3" s="1"/>
  <c r="Q17" i="3"/>
  <c r="Q18" i="3" s="1"/>
  <c r="D36" i="51" l="1"/>
  <c r="E35" i="51"/>
  <c r="J48" i="12"/>
  <c r="K31" i="3"/>
  <c r="K38" i="3"/>
  <c r="K10" i="29"/>
  <c r="L10" i="29"/>
  <c r="D14" i="53"/>
  <c r="D15" i="53"/>
  <c r="D16" i="53"/>
  <c r="D17" i="53"/>
  <c r="D18" i="53"/>
  <c r="D19" i="53"/>
  <c r="D13" i="53"/>
  <c r="G17" i="53"/>
  <c r="D24" i="53"/>
  <c r="D25" i="53"/>
  <c r="D26" i="53"/>
  <c r="D27" i="53"/>
  <c r="D28" i="53"/>
  <c r="D29" i="53"/>
  <c r="D30" i="53"/>
  <c r="D31" i="53"/>
  <c r="G31" i="53" s="1"/>
  <c r="D32" i="53"/>
  <c r="D33" i="53"/>
  <c r="G33" i="53" s="1"/>
  <c r="D34" i="53"/>
  <c r="D35" i="53"/>
  <c r="D23" i="53"/>
  <c r="G29" i="53"/>
  <c r="G25" i="53"/>
  <c r="B41" i="53"/>
  <c r="D41" i="53"/>
  <c r="G41" i="53" s="1"/>
  <c r="B44" i="53"/>
  <c r="D44" i="53" s="1"/>
  <c r="G44" i="53" s="1"/>
  <c r="B45" i="53"/>
  <c r="D45" i="53" s="1"/>
  <c r="G45" i="53" s="1"/>
  <c r="G24" i="53"/>
  <c r="G28" i="53"/>
  <c r="G32" i="53"/>
  <c r="G34" i="53"/>
  <c r="G35" i="53"/>
  <c r="G13" i="53"/>
  <c r="G27" i="53"/>
  <c r="B40" i="53"/>
  <c r="D40" i="53"/>
  <c r="G40" i="53" s="1"/>
  <c r="G14" i="53"/>
  <c r="G15" i="53"/>
  <c r="G16" i="53"/>
  <c r="G19" i="53"/>
  <c r="G30" i="53"/>
  <c r="G26" i="53"/>
  <c r="G23" i="53"/>
  <c r="S12" i="29"/>
  <c r="H52" i="53"/>
  <c r="B43" i="53"/>
  <c r="D43" i="53" s="1"/>
  <c r="G43" i="53" s="1"/>
  <c r="B42" i="53"/>
  <c r="D42" i="53" s="1"/>
  <c r="G42" i="53" s="1"/>
  <c r="B39" i="53"/>
  <c r="D39" i="53" s="1"/>
  <c r="G39" i="53" s="1"/>
  <c r="Q31" i="53"/>
  <c r="Q19" i="53"/>
  <c r="Q20" i="53" s="1"/>
  <c r="G18" i="53"/>
  <c r="G48" i="12"/>
  <c r="F38" i="48"/>
  <c r="K25" i="3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6" i="7"/>
  <c r="H20" i="53" l="1"/>
  <c r="H48" i="53" s="1"/>
  <c r="H36" i="53"/>
  <c r="H47" i="53"/>
  <c r="G39" i="3"/>
  <c r="C17" i="50" s="1"/>
  <c r="L38" i="3"/>
  <c r="L39" i="3" s="1"/>
  <c r="D17" i="50" s="1"/>
  <c r="K48" i="53" l="1"/>
  <c r="P38" i="3"/>
  <c r="H53" i="53" l="1"/>
  <c r="H54" i="53" s="1"/>
  <c r="Q38" i="3"/>
  <c r="Q39" i="3" s="1"/>
  <c r="E17" i="50" s="1"/>
  <c r="U38" i="3"/>
  <c r="V38" i="3" s="1"/>
  <c r="V39" i="3" s="1"/>
  <c r="F17" i="50" s="1"/>
  <c r="P25" i="3"/>
  <c r="L11" i="29" l="1"/>
  <c r="L12" i="29" l="1"/>
  <c r="L13" i="29" s="1"/>
  <c r="P24" i="3"/>
  <c r="U24" i="3" s="1"/>
  <c r="V24" i="3" s="1"/>
  <c r="G23" i="3"/>
  <c r="Q24" i="3" l="1"/>
  <c r="G41" i="52"/>
  <c r="P23" i="3" l="1"/>
  <c r="Q23" i="3" l="1"/>
  <c r="U23" i="3"/>
  <c r="V23" i="3" s="1"/>
  <c r="D23" i="51" l="1"/>
  <c r="D37" i="51" s="1"/>
  <c r="E29" i="51"/>
  <c r="E28" i="51"/>
  <c r="E22" i="51"/>
  <c r="E10" i="51"/>
  <c r="E16" i="51"/>
  <c r="G5" i="48" l="1"/>
  <c r="G6" i="48"/>
  <c r="G7" i="48"/>
  <c r="G8" i="48"/>
  <c r="G9" i="48"/>
  <c r="G16" i="48"/>
  <c r="G17" i="48"/>
  <c r="G21" i="48"/>
  <c r="G22" i="48"/>
  <c r="G23" i="48"/>
  <c r="G24" i="48"/>
  <c r="G25" i="48"/>
  <c r="G26" i="48"/>
  <c r="G27" i="48"/>
  <c r="G28" i="48"/>
  <c r="G29" i="48"/>
  <c r="F34" i="48"/>
  <c r="G34" i="48" s="1"/>
  <c r="G35" i="48" s="1"/>
  <c r="H35" i="48" s="1"/>
  <c r="G38" i="48"/>
  <c r="G39" i="48" s="1"/>
  <c r="H39" i="48" s="1"/>
  <c r="G42" i="48"/>
  <c r="G10" i="48" l="1"/>
  <c r="J27" i="46" l="1"/>
  <c r="H26" i="46"/>
  <c r="I20" i="46"/>
  <c r="I21" i="46"/>
  <c r="I22" i="46" s="1"/>
  <c r="B45" i="12"/>
  <c r="B44" i="12"/>
  <c r="B43" i="12"/>
  <c r="B42" i="12"/>
  <c r="B41" i="12"/>
  <c r="B40" i="12"/>
  <c r="B39" i="12"/>
  <c r="E49" i="44" l="1"/>
  <c r="E24" i="44"/>
  <c r="E28" i="44" s="1"/>
  <c r="E10" i="44"/>
  <c r="E9" i="44"/>
  <c r="E21" i="44" s="1"/>
  <c r="AN94" i="42"/>
  <c r="AF94" i="42"/>
  <c r="X94" i="42"/>
  <c r="P94" i="42"/>
  <c r="AR87" i="42"/>
  <c r="AP87" i="42"/>
  <c r="AQ87" i="42" s="1"/>
  <c r="AN87" i="42"/>
  <c r="AL87" i="42"/>
  <c r="AJ87" i="42"/>
  <c r="AH87" i="42"/>
  <c r="AF87" i="42"/>
  <c r="AD87" i="42"/>
  <c r="AB87" i="42"/>
  <c r="Z87" i="42"/>
  <c r="AA87" i="42" s="1"/>
  <c r="X87" i="42"/>
  <c r="V87" i="42"/>
  <c r="T87" i="42"/>
  <c r="R87" i="42"/>
  <c r="S87" i="42" s="1"/>
  <c r="P87" i="42"/>
  <c r="N87" i="42"/>
  <c r="L87" i="42"/>
  <c r="AD86" i="42"/>
  <c r="AB86" i="42"/>
  <c r="Z86" i="42"/>
  <c r="AA86" i="42" s="1"/>
  <c r="X86" i="42"/>
  <c r="V86" i="42"/>
  <c r="T86" i="42"/>
  <c r="R86" i="42"/>
  <c r="S86" i="42" s="1"/>
  <c r="P86" i="42"/>
  <c r="N86" i="42"/>
  <c r="AP83" i="42"/>
  <c r="AL83" i="42"/>
  <c r="AD83" i="42"/>
  <c r="Z83" i="42"/>
  <c r="V83" i="42"/>
  <c r="R83" i="42"/>
  <c r="N83" i="42"/>
  <c r="AP78" i="42"/>
  <c r="Z78" i="42"/>
  <c r="R78" i="42"/>
  <c r="N78" i="42"/>
  <c r="AP75" i="42"/>
  <c r="AL75" i="42"/>
  <c r="AD75" i="42"/>
  <c r="Z75" i="42"/>
  <c r="V75" i="42"/>
  <c r="R75" i="42"/>
  <c r="N75" i="42"/>
  <c r="AP74" i="42"/>
  <c r="AP81" i="42" s="1"/>
  <c r="AP82" i="42" s="1"/>
  <c r="AQ82" i="42" s="1"/>
  <c r="AL74" i="42"/>
  <c r="AL81" i="42" s="1"/>
  <c r="AM81" i="42" s="1"/>
  <c r="AD74" i="42"/>
  <c r="AD81" i="42" s="1"/>
  <c r="AE81" i="42" s="1"/>
  <c r="Z74" i="42"/>
  <c r="Z81" i="42" s="1"/>
  <c r="Z82" i="42" s="1"/>
  <c r="AA82" i="42" s="1"/>
  <c r="V74" i="42"/>
  <c r="V81" i="42" s="1"/>
  <c r="W81" i="42" s="1"/>
  <c r="R74" i="42"/>
  <c r="R81" i="42" s="1"/>
  <c r="R82" i="42" s="1"/>
  <c r="S82" i="42" s="1"/>
  <c r="N74" i="42"/>
  <c r="N81" i="42" s="1"/>
  <c r="O81" i="42" s="1"/>
  <c r="AD73" i="42"/>
  <c r="AB73" i="42"/>
  <c r="Z73" i="42"/>
  <c r="X73" i="42"/>
  <c r="V73" i="42"/>
  <c r="T73" i="42"/>
  <c r="R73" i="42"/>
  <c r="P73" i="42"/>
  <c r="N73" i="42"/>
  <c r="AR72" i="42"/>
  <c r="AP72" i="42"/>
  <c r="AN72" i="42"/>
  <c r="AJ72" i="42"/>
  <c r="AF72" i="42"/>
  <c r="AD72" i="42"/>
  <c r="AB72" i="42"/>
  <c r="Z72" i="42"/>
  <c r="X72" i="42"/>
  <c r="V72" i="42"/>
  <c r="T72" i="42"/>
  <c r="R72" i="42"/>
  <c r="P72" i="42"/>
  <c r="N72" i="42"/>
  <c r="G72" i="42"/>
  <c r="AL70" i="42"/>
  <c r="AL72" i="42" s="1"/>
  <c r="AH70" i="42"/>
  <c r="AH72" i="42" s="1"/>
  <c r="AH83" i="42" s="1"/>
  <c r="G70" i="42"/>
  <c r="S68" i="42"/>
  <c r="Q68" i="42" s="1"/>
  <c r="AB79" i="42" s="1"/>
  <c r="G68" i="42"/>
  <c r="G66" i="42"/>
  <c r="G65" i="42"/>
  <c r="G71" i="42" s="1"/>
  <c r="M52" i="42"/>
  <c r="M51" i="42"/>
  <c r="G34" i="42"/>
  <c r="D33" i="42"/>
  <c r="N32" i="42"/>
  <c r="N27" i="42"/>
  <c r="N26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D12" i="42"/>
  <c r="H11" i="42"/>
  <c r="D11" i="42"/>
  <c r="H10" i="42"/>
  <c r="D10" i="42"/>
  <c r="H9" i="42"/>
  <c r="D9" i="42"/>
  <c r="H8" i="42"/>
  <c r="D8" i="42"/>
  <c r="E30" i="44" l="1"/>
  <c r="E34" i="44" s="1"/>
  <c r="D27" i="42"/>
  <c r="D29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P83" i="42"/>
  <c r="Q83" i="42" s="1"/>
  <c r="P75" i="42"/>
  <c r="P74" i="42"/>
  <c r="T83" i="42"/>
  <c r="T75" i="42"/>
  <c r="T74" i="42"/>
  <c r="X83" i="42"/>
  <c r="Y83" i="42" s="1"/>
  <c r="X75" i="42"/>
  <c r="X74" i="42"/>
  <c r="AB83" i="42"/>
  <c r="AB75" i="42"/>
  <c r="AB74" i="42"/>
  <c r="AF83" i="42"/>
  <c r="AG83" i="42" s="1"/>
  <c r="AF75" i="42"/>
  <c r="AF74" i="42"/>
  <c r="AN83" i="42"/>
  <c r="AN75" i="42"/>
  <c r="AN74" i="42"/>
  <c r="AR83" i="42"/>
  <c r="AS83" i="42" s="1"/>
  <c r="AR75" i="42"/>
  <c r="AR74" i="42"/>
  <c r="N97" i="42"/>
  <c r="O97" i="42" s="1"/>
  <c r="N96" i="42"/>
  <c r="O96" i="42" s="1"/>
  <c r="O78" i="42"/>
  <c r="V97" i="42"/>
  <c r="W97" i="42" s="1"/>
  <c r="V96" i="42"/>
  <c r="W96" i="42" s="1"/>
  <c r="V93" i="42"/>
  <c r="W93" i="42" s="1"/>
  <c r="W78" i="42"/>
  <c r="AD97" i="42"/>
  <c r="AE97" i="42" s="1"/>
  <c r="AD96" i="42"/>
  <c r="AE96" i="42" s="1"/>
  <c r="AD93" i="42"/>
  <c r="AE93" i="42" s="1"/>
  <c r="AE78" i="42"/>
  <c r="AL97" i="42"/>
  <c r="AM97" i="42" s="1"/>
  <c r="AL96" i="42"/>
  <c r="AM96" i="42" s="1"/>
  <c r="AL93" i="42"/>
  <c r="AM93" i="42" s="1"/>
  <c r="AM86" i="42"/>
  <c r="AM79" i="42"/>
  <c r="AM78" i="42"/>
  <c r="N76" i="42"/>
  <c r="V76" i="42"/>
  <c r="AD76" i="42"/>
  <c r="AL76" i="42"/>
  <c r="V78" i="42"/>
  <c r="AD78" i="42"/>
  <c r="AL78" i="42"/>
  <c r="N79" i="42"/>
  <c r="O79" i="42" s="1"/>
  <c r="R79" i="42"/>
  <c r="S79" i="42" s="1"/>
  <c r="V79" i="42"/>
  <c r="W79" i="42" s="1"/>
  <c r="Z79" i="42"/>
  <c r="AA79" i="42" s="1"/>
  <c r="AD79" i="42"/>
  <c r="AE79" i="42" s="1"/>
  <c r="N82" i="42"/>
  <c r="O82" i="42" s="1"/>
  <c r="V82" i="42"/>
  <c r="W82" i="42" s="1"/>
  <c r="AD82" i="42"/>
  <c r="AE82" i="42" s="1"/>
  <c r="AL82" i="42"/>
  <c r="AM82" i="42" s="1"/>
  <c r="O83" i="42"/>
  <c r="W83" i="42"/>
  <c r="AE83" i="42"/>
  <c r="AM83" i="42"/>
  <c r="N84" i="42"/>
  <c r="O84" i="42" s="1"/>
  <c r="V84" i="42"/>
  <c r="W84" i="42" s="1"/>
  <c r="AD84" i="42"/>
  <c r="AE84" i="42" s="1"/>
  <c r="AL84" i="42"/>
  <c r="AM84" i="42" s="1"/>
  <c r="O86" i="42"/>
  <c r="W86" i="42"/>
  <c r="AE86" i="42"/>
  <c r="O87" i="42"/>
  <c r="W87" i="42"/>
  <c r="AE87" i="42"/>
  <c r="AI87" i="42"/>
  <c r="AM87" i="42"/>
  <c r="N89" i="42"/>
  <c r="O89" i="42" s="1"/>
  <c r="V89" i="42"/>
  <c r="W89" i="42" s="1"/>
  <c r="AD89" i="42"/>
  <c r="AE89" i="42" s="1"/>
  <c r="AL89" i="42"/>
  <c r="AM89" i="42" s="1"/>
  <c r="N90" i="42"/>
  <c r="O90" i="42" s="1"/>
  <c r="V90" i="42"/>
  <c r="W90" i="42" s="1"/>
  <c r="AD90" i="42"/>
  <c r="AE90" i="42" s="1"/>
  <c r="AL90" i="42"/>
  <c r="AM90" i="42" s="1"/>
  <c r="N91" i="42"/>
  <c r="O91" i="42" s="1"/>
  <c r="V91" i="42"/>
  <c r="W91" i="42" s="1"/>
  <c r="AD91" i="42"/>
  <c r="AE91" i="42" s="1"/>
  <c r="AL91" i="42"/>
  <c r="AM91" i="42" s="1"/>
  <c r="N93" i="42"/>
  <c r="O93" i="42" s="1"/>
  <c r="Y94" i="42"/>
  <c r="AO94" i="42"/>
  <c r="N33" i="42"/>
  <c r="N31" i="42"/>
  <c r="N29" i="42"/>
  <c r="N28" i="42"/>
  <c r="D30" i="42"/>
  <c r="N30" i="42"/>
  <c r="AJ83" i="42"/>
  <c r="AK83" i="42" s="1"/>
  <c r="AJ75" i="42"/>
  <c r="AJ74" i="42"/>
  <c r="AH74" i="42"/>
  <c r="R97" i="42"/>
  <c r="S97" i="42" s="1"/>
  <c r="R96" i="42"/>
  <c r="S96" i="42" s="1"/>
  <c r="S78" i="42"/>
  <c r="Z97" i="42"/>
  <c r="AA97" i="42" s="1"/>
  <c r="Z96" i="42"/>
  <c r="AA96" i="42" s="1"/>
  <c r="Z93" i="42"/>
  <c r="AA93" i="42" s="1"/>
  <c r="AA78" i="42"/>
  <c r="AH75" i="42"/>
  <c r="AP97" i="42"/>
  <c r="AQ97" i="42" s="1"/>
  <c r="AP96" i="42"/>
  <c r="AQ96" i="42" s="1"/>
  <c r="AP93" i="42"/>
  <c r="AQ93" i="42" s="1"/>
  <c r="AQ86" i="42"/>
  <c r="AQ79" i="42"/>
  <c r="AQ78" i="42"/>
  <c r="R76" i="42"/>
  <c r="Z76" i="42"/>
  <c r="AP76" i="42"/>
  <c r="P79" i="42"/>
  <c r="Q79" i="42" s="1"/>
  <c r="T79" i="42"/>
  <c r="U79" i="42" s="1"/>
  <c r="X79" i="42"/>
  <c r="Y79" i="42" s="1"/>
  <c r="S81" i="42"/>
  <c r="AA81" i="42"/>
  <c r="AQ81" i="42"/>
  <c r="S83" i="42"/>
  <c r="AA83" i="42"/>
  <c r="AQ83" i="42"/>
  <c r="R84" i="42"/>
  <c r="S84" i="42" s="1"/>
  <c r="Z84" i="42"/>
  <c r="AA84" i="42" s="1"/>
  <c r="AP84" i="42"/>
  <c r="AQ84" i="42" s="1"/>
  <c r="R89" i="42"/>
  <c r="S89" i="42" s="1"/>
  <c r="Z89" i="42"/>
  <c r="AA89" i="42" s="1"/>
  <c r="AP89" i="42"/>
  <c r="AQ89" i="42" s="1"/>
  <c r="R90" i="42"/>
  <c r="S90" i="42" s="1"/>
  <c r="Z90" i="42"/>
  <c r="AA90" i="42" s="1"/>
  <c r="AP90" i="42"/>
  <c r="AQ90" i="42" s="1"/>
  <c r="R91" i="42"/>
  <c r="S91" i="42" s="1"/>
  <c r="Z91" i="42"/>
  <c r="AA91" i="42" s="1"/>
  <c r="AP91" i="42"/>
  <c r="AQ91" i="42" s="1"/>
  <c r="R93" i="42"/>
  <c r="S93" i="42" s="1"/>
  <c r="Q94" i="42"/>
  <c r="AG94" i="42"/>
  <c r="G67" i="42"/>
  <c r="G69" i="42"/>
  <c r="AP94" i="42"/>
  <c r="AQ94" i="42" s="1"/>
  <c r="AL94" i="42"/>
  <c r="AM94" i="42" s="1"/>
  <c r="AH94" i="42"/>
  <c r="AI94" i="42" s="1"/>
  <c r="AD94" i="42"/>
  <c r="AE94" i="42" s="1"/>
  <c r="Z94" i="42"/>
  <c r="AA94" i="42" s="1"/>
  <c r="V94" i="42"/>
  <c r="W94" i="42" s="1"/>
  <c r="R94" i="42"/>
  <c r="S94" i="42" s="1"/>
  <c r="N94" i="42"/>
  <c r="O94" i="42" s="1"/>
  <c r="Q86" i="42"/>
  <c r="U86" i="42"/>
  <c r="Y86" i="42"/>
  <c r="AC86" i="42"/>
  <c r="Q87" i="42"/>
  <c r="U87" i="42"/>
  <c r="Y87" i="42"/>
  <c r="AC87" i="42"/>
  <c r="AG87" i="42"/>
  <c r="AK87" i="42"/>
  <c r="AS87" i="42"/>
  <c r="T94" i="42"/>
  <c r="AB94" i="42"/>
  <c r="AC94" i="42" s="1"/>
  <c r="AJ94" i="42"/>
  <c r="AK94" i="42" s="1"/>
  <c r="AR94" i="42"/>
  <c r="AS94" i="42" s="1"/>
  <c r="C8" i="46" l="1"/>
  <c r="AA98" i="42"/>
  <c r="S98" i="42"/>
  <c r="AJ84" i="42"/>
  <c r="AK84" i="42" s="1"/>
  <c r="AJ81" i="42"/>
  <c r="AP98" i="42"/>
  <c r="AP100" i="42" s="1"/>
  <c r="AD98" i="42"/>
  <c r="AD100" i="42" s="1"/>
  <c r="V98" i="42"/>
  <c r="V100" i="42" s="1"/>
  <c r="N98" i="42"/>
  <c r="N100" i="42" s="1"/>
  <c r="AR84" i="42"/>
  <c r="AS84" i="42" s="1"/>
  <c r="AR81" i="42"/>
  <c r="AN91" i="42"/>
  <c r="AO91" i="42" s="1"/>
  <c r="AN90" i="42"/>
  <c r="AO90" i="42" s="1"/>
  <c r="AN89" i="42"/>
  <c r="AO89" i="42" s="1"/>
  <c r="AO86" i="42"/>
  <c r="AO78" i="42"/>
  <c r="AN76" i="42"/>
  <c r="AO79" i="42"/>
  <c r="AN78" i="42"/>
  <c r="AN97" i="42"/>
  <c r="AO97" i="42" s="1"/>
  <c r="AN96" i="42"/>
  <c r="AO96" i="42" s="1"/>
  <c r="AN93" i="42"/>
  <c r="AO93" i="42" s="1"/>
  <c r="AF84" i="42"/>
  <c r="AG84" i="42" s="1"/>
  <c r="AF81" i="42"/>
  <c r="AB97" i="42"/>
  <c r="AC97" i="42" s="1"/>
  <c r="AB96" i="42"/>
  <c r="AC96" i="42" s="1"/>
  <c r="AB93" i="42"/>
  <c r="AC93" i="42" s="1"/>
  <c r="AB91" i="42"/>
  <c r="AC91" i="42" s="1"/>
  <c r="AB90" i="42"/>
  <c r="AC90" i="42" s="1"/>
  <c r="AB89" i="42"/>
  <c r="AC89" i="42" s="1"/>
  <c r="AC78" i="42"/>
  <c r="AB76" i="42"/>
  <c r="AB78" i="42"/>
  <c r="X84" i="42"/>
  <c r="Y84" i="42" s="1"/>
  <c r="X81" i="42"/>
  <c r="T97" i="42"/>
  <c r="U97" i="42" s="1"/>
  <c r="T96" i="42"/>
  <c r="U96" i="42" s="1"/>
  <c r="T93" i="42"/>
  <c r="U93" i="42" s="1"/>
  <c r="T91" i="42"/>
  <c r="U91" i="42" s="1"/>
  <c r="T90" i="42"/>
  <c r="U90" i="42" s="1"/>
  <c r="T89" i="42"/>
  <c r="U89" i="42" s="1"/>
  <c r="U78" i="42"/>
  <c r="T76" i="42"/>
  <c r="T78" i="42"/>
  <c r="P84" i="42"/>
  <c r="Q84" i="42" s="1"/>
  <c r="P81" i="42"/>
  <c r="AC79" i="42"/>
  <c r="U94" i="42"/>
  <c r="AO87" i="42"/>
  <c r="AQ98" i="42"/>
  <c r="AH97" i="42"/>
  <c r="AI97" i="42" s="1"/>
  <c r="AH96" i="42"/>
  <c r="AI96" i="42" s="1"/>
  <c r="AH93" i="42"/>
  <c r="AI93" i="42" s="1"/>
  <c r="AI86" i="42"/>
  <c r="AI79" i="42"/>
  <c r="AI78" i="42"/>
  <c r="AH91" i="42"/>
  <c r="AI91" i="42" s="1"/>
  <c r="AH90" i="42"/>
  <c r="AI90" i="42" s="1"/>
  <c r="AH89" i="42"/>
  <c r="AI89" i="42" s="1"/>
  <c r="AH76" i="42"/>
  <c r="AH78" i="42"/>
  <c r="AH81" i="42"/>
  <c r="AH84" i="42"/>
  <c r="AI84" i="42" s="1"/>
  <c r="AJ97" i="42"/>
  <c r="AK97" i="42" s="1"/>
  <c r="AJ96" i="42"/>
  <c r="AK96" i="42" s="1"/>
  <c r="AJ93" i="42"/>
  <c r="AK93" i="42" s="1"/>
  <c r="AJ91" i="42"/>
  <c r="AK91" i="42" s="1"/>
  <c r="AJ90" i="42"/>
  <c r="AK90" i="42" s="1"/>
  <c r="AJ89" i="42"/>
  <c r="AK89" i="42" s="1"/>
  <c r="AK78" i="42"/>
  <c r="AJ76" i="42"/>
  <c r="AK86" i="42"/>
  <c r="AJ78" i="42"/>
  <c r="AK79" i="42"/>
  <c r="D26" i="42"/>
  <c r="AL98" i="42"/>
  <c r="AL100" i="42" s="1"/>
  <c r="Z98" i="42"/>
  <c r="Z100" i="42" s="1"/>
  <c r="R98" i="42"/>
  <c r="R100" i="42" s="1"/>
  <c r="AM98" i="42"/>
  <c r="AE98" i="42"/>
  <c r="W98" i="42"/>
  <c r="O98" i="42"/>
  <c r="AR97" i="42"/>
  <c r="AS97" i="42" s="1"/>
  <c r="AR96" i="42"/>
  <c r="AS96" i="42" s="1"/>
  <c r="AR93" i="42"/>
  <c r="AS93" i="42" s="1"/>
  <c r="AR91" i="42"/>
  <c r="AS91" i="42" s="1"/>
  <c r="AR90" i="42"/>
  <c r="AS90" i="42" s="1"/>
  <c r="AR89" i="42"/>
  <c r="AS89" i="42" s="1"/>
  <c r="AS78" i="42"/>
  <c r="AR76" i="42"/>
  <c r="AR78" i="42"/>
  <c r="AS86" i="42"/>
  <c r="AS79" i="42"/>
  <c r="AN84" i="42"/>
  <c r="AO84" i="42" s="1"/>
  <c r="AN81" i="42"/>
  <c r="AO83" i="42"/>
  <c r="AF91" i="42"/>
  <c r="AG91" i="42" s="1"/>
  <c r="AF90" i="42"/>
  <c r="AG90" i="42" s="1"/>
  <c r="AF89" i="42"/>
  <c r="AG89" i="42" s="1"/>
  <c r="AG86" i="42"/>
  <c r="AG78" i="42"/>
  <c r="AF76" i="42"/>
  <c r="AF97" i="42"/>
  <c r="AG97" i="42" s="1"/>
  <c r="AF96" i="42"/>
  <c r="AG96" i="42" s="1"/>
  <c r="AF93" i="42"/>
  <c r="AG93" i="42" s="1"/>
  <c r="AG79" i="42"/>
  <c r="AF78" i="42"/>
  <c r="AB84" i="42"/>
  <c r="AC84" i="42" s="1"/>
  <c r="AB81" i="42"/>
  <c r="AC83" i="42"/>
  <c r="X91" i="42"/>
  <c r="Y91" i="42" s="1"/>
  <c r="X90" i="42"/>
  <c r="Y90" i="42" s="1"/>
  <c r="X89" i="42"/>
  <c r="Y89" i="42" s="1"/>
  <c r="Y78" i="42"/>
  <c r="X76" i="42"/>
  <c r="X78" i="42"/>
  <c r="X97" i="42"/>
  <c r="Y97" i="42" s="1"/>
  <c r="X96" i="42"/>
  <c r="Y96" i="42" s="1"/>
  <c r="X93" i="42"/>
  <c r="Y93" i="42" s="1"/>
  <c r="T84" i="42"/>
  <c r="U84" i="42" s="1"/>
  <c r="T81" i="42"/>
  <c r="U83" i="42"/>
  <c r="P93" i="42"/>
  <c r="Q93" i="42" s="1"/>
  <c r="P91" i="42"/>
  <c r="Q91" i="42" s="1"/>
  <c r="P90" i="42"/>
  <c r="Q90" i="42" s="1"/>
  <c r="P89" i="42"/>
  <c r="Q89" i="42" s="1"/>
  <c r="Q78" i="42"/>
  <c r="P76" i="42"/>
  <c r="P97" i="42"/>
  <c r="Q97" i="42" s="1"/>
  <c r="P96" i="42"/>
  <c r="Q96" i="42" s="1"/>
  <c r="P78" i="42"/>
  <c r="D32" i="42"/>
  <c r="D31" i="42"/>
  <c r="AI83" i="42"/>
  <c r="D28" i="42"/>
  <c r="H14" i="46" l="1"/>
  <c r="I14" i="46" s="1"/>
  <c r="H13" i="46"/>
  <c r="I13" i="46" s="1"/>
  <c r="H12" i="46"/>
  <c r="I12" i="46" s="1"/>
  <c r="I23" i="42"/>
  <c r="E23" i="42"/>
  <c r="F23" i="42" s="1"/>
  <c r="G23" i="42" s="1"/>
  <c r="AH82" i="42"/>
  <c r="AI82" i="42" s="1"/>
  <c r="AI81" i="42"/>
  <c r="AI98" i="42" s="1"/>
  <c r="P82" i="42"/>
  <c r="Q82" i="42" s="1"/>
  <c r="Q81" i="42"/>
  <c r="T98" i="42"/>
  <c r="T100" i="42" s="1"/>
  <c r="AF82" i="42"/>
  <c r="AG82" i="42" s="1"/>
  <c r="AG81" i="42"/>
  <c r="I11" i="42"/>
  <c r="E11" i="42"/>
  <c r="Q98" i="42"/>
  <c r="T82" i="42"/>
  <c r="U82" i="42" s="1"/>
  <c r="U81" i="42"/>
  <c r="U98" i="42" s="1"/>
  <c r="AB82" i="42"/>
  <c r="AC82" i="42" s="1"/>
  <c r="AC81" i="42"/>
  <c r="AC98" i="42" s="1"/>
  <c r="AG98" i="42"/>
  <c r="AN82" i="42"/>
  <c r="AO82" i="42" s="1"/>
  <c r="AO81" i="42"/>
  <c r="AO98" i="42" s="1"/>
  <c r="I24" i="42"/>
  <c r="E24" i="42"/>
  <c r="F24" i="42" s="1"/>
  <c r="G24" i="42" s="1"/>
  <c r="I12" i="42"/>
  <c r="E12" i="42"/>
  <c r="F12" i="42" s="1"/>
  <c r="G12" i="42" s="1"/>
  <c r="I9" i="42"/>
  <c r="E9" i="42"/>
  <c r="E33" i="42"/>
  <c r="I15" i="42"/>
  <c r="E15" i="42"/>
  <c r="F15" i="42" s="1"/>
  <c r="G15" i="42" s="1"/>
  <c r="AJ98" i="42"/>
  <c r="AJ100" i="42" s="1"/>
  <c r="AH98" i="42"/>
  <c r="AH100" i="42" s="1"/>
  <c r="X82" i="42"/>
  <c r="Y82" i="42" s="1"/>
  <c r="Y81" i="42"/>
  <c r="Y98" i="42" s="1"/>
  <c r="AB98" i="42"/>
  <c r="AB100" i="42" s="1"/>
  <c r="AN98" i="42"/>
  <c r="AN100" i="42" s="1"/>
  <c r="AS81" i="42"/>
  <c r="AR82" i="42"/>
  <c r="AS82" i="42" s="1"/>
  <c r="AS98" i="42" s="1"/>
  <c r="AJ82" i="42"/>
  <c r="AK82" i="42" s="1"/>
  <c r="AK81" i="42"/>
  <c r="AK98" i="42" s="1"/>
  <c r="I15" i="46" l="1"/>
  <c r="I16" i="46" s="1"/>
  <c r="I18" i="42"/>
  <c r="E18" i="42"/>
  <c r="F18" i="42" s="1"/>
  <c r="G18" i="42" s="1"/>
  <c r="I17" i="42"/>
  <c r="E17" i="42"/>
  <c r="F17" i="42" s="1"/>
  <c r="G17" i="42" s="1"/>
  <c r="I20" i="42"/>
  <c r="E20" i="42"/>
  <c r="F20" i="42" s="1"/>
  <c r="G20" i="42" s="1"/>
  <c r="I19" i="42"/>
  <c r="E19" i="42"/>
  <c r="F19" i="42" s="1"/>
  <c r="G19" i="42" s="1"/>
  <c r="I10" i="42"/>
  <c r="E10" i="42"/>
  <c r="I22" i="42"/>
  <c r="E22" i="42"/>
  <c r="F22" i="42" s="1"/>
  <c r="G22" i="42" s="1"/>
  <c r="I21" i="42"/>
  <c r="E21" i="42"/>
  <c r="F21" i="42" s="1"/>
  <c r="G21" i="42" s="1"/>
  <c r="I8" i="42"/>
  <c r="E8" i="42"/>
  <c r="I14" i="42"/>
  <c r="E14" i="42"/>
  <c r="F14" i="42" s="1"/>
  <c r="G14" i="42" s="1"/>
  <c r="I16" i="42"/>
  <c r="E16" i="42"/>
  <c r="F16" i="42" s="1"/>
  <c r="G16" i="42" s="1"/>
  <c r="E27" i="42"/>
  <c r="F9" i="42"/>
  <c r="I13" i="42"/>
  <c r="E13" i="42"/>
  <c r="F13" i="42" s="1"/>
  <c r="G13" i="42" s="1"/>
  <c r="E29" i="42"/>
  <c r="F11" i="42"/>
  <c r="X98" i="42"/>
  <c r="X100" i="42" s="1"/>
  <c r="AR98" i="42"/>
  <c r="AR100" i="42" s="1"/>
  <c r="AF98" i="42"/>
  <c r="AF100" i="42" s="1"/>
  <c r="P98" i="42"/>
  <c r="P100" i="42" s="1"/>
  <c r="I24" i="46" l="1"/>
  <c r="I26" i="46" s="1"/>
  <c r="I27" i="46" s="1"/>
  <c r="I28" i="46" s="1"/>
  <c r="I29" i="46" s="1"/>
  <c r="I30" i="46" s="1"/>
  <c r="F29" i="42"/>
  <c r="G29" i="42" s="1"/>
  <c r="G11" i="42"/>
  <c r="G9" i="42"/>
  <c r="F27" i="42"/>
  <c r="G27" i="42" s="1"/>
  <c r="E31" i="42"/>
  <c r="E30" i="42"/>
  <c r="E26" i="42"/>
  <c r="F33" i="42"/>
  <c r="G33" i="42" s="1"/>
  <c r="F8" i="42"/>
  <c r="E32" i="42"/>
  <c r="E28" i="42"/>
  <c r="F10" i="42"/>
  <c r="K32" i="3" l="1"/>
  <c r="F29" i="56"/>
  <c r="G29" i="56" s="1"/>
  <c r="G30" i="56" s="1"/>
  <c r="G37" i="56" s="1"/>
  <c r="F28" i="42"/>
  <c r="G28" i="42" s="1"/>
  <c r="G10" i="42"/>
  <c r="F31" i="42"/>
  <c r="G31" i="42" s="1"/>
  <c r="F32" i="42"/>
  <c r="G32" i="42" s="1"/>
  <c r="F26" i="42"/>
  <c r="G26" i="42" s="1"/>
  <c r="G8" i="42"/>
  <c r="F30" i="42"/>
  <c r="G30" i="42" s="1"/>
  <c r="U25" i="3" l="1"/>
  <c r="C8" i="50" l="1"/>
  <c r="L25" i="3"/>
  <c r="L26" i="3" l="1"/>
  <c r="D11" i="50" s="1"/>
  <c r="D8" i="50"/>
  <c r="Q25" i="3"/>
  <c r="V25" i="3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18" i="12"/>
  <c r="D17" i="12"/>
  <c r="D16" i="12"/>
  <c r="D15" i="12"/>
  <c r="D14" i="12"/>
  <c r="D13" i="12"/>
  <c r="V26" i="3" l="1"/>
  <c r="F11" i="50" s="1"/>
  <c r="Q26" i="3"/>
  <c r="E11" i="50" s="1"/>
  <c r="F8" i="50"/>
  <c r="E8" i="50"/>
  <c r="O23" i="7"/>
  <c r="O18" i="7"/>
  <c r="O15" i="7"/>
  <c r="O14" i="7"/>
  <c r="O13" i="7"/>
  <c r="O11" i="7"/>
  <c r="O10" i="7"/>
  <c r="O9" i="7"/>
  <c r="O8" i="7"/>
  <c r="O7" i="7"/>
  <c r="O12" i="7"/>
  <c r="O17" i="7"/>
  <c r="O20" i="7"/>
  <c r="O21" i="7"/>
  <c r="O22" i="7"/>
  <c r="O6" i="7"/>
  <c r="O16" i="7" l="1"/>
  <c r="O19" i="7"/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7" i="7"/>
  <c r="P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6" i="7"/>
  <c r="H7" i="7"/>
  <c r="H6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6" i="7"/>
  <c r="K24" i="7" l="1"/>
  <c r="P24" i="7"/>
  <c r="N24" i="7"/>
  <c r="H24" i="7"/>
  <c r="I6" i="29" l="1"/>
  <c r="J6" i="29" s="1"/>
  <c r="J7" i="29" l="1"/>
  <c r="J8" i="29" s="1"/>
  <c r="J9" i="29" l="1"/>
  <c r="F19" i="12" l="1"/>
  <c r="F18" i="12"/>
  <c r="F17" i="12"/>
  <c r="F16" i="12"/>
  <c r="F15" i="12"/>
  <c r="F14" i="12"/>
  <c r="F13" i="12"/>
  <c r="F35" i="12"/>
  <c r="F34" i="12"/>
  <c r="F32" i="12"/>
  <c r="F31" i="12"/>
  <c r="F30" i="12"/>
  <c r="F29" i="12"/>
  <c r="F26" i="12"/>
  <c r="F25" i="12"/>
  <c r="F24" i="12"/>
  <c r="F23" i="12"/>
  <c r="G20" i="12" l="1"/>
  <c r="D40" i="12" l="1"/>
  <c r="F40" i="12" s="1"/>
  <c r="D44" i="12"/>
  <c r="F44" i="12" s="1"/>
  <c r="D43" i="12"/>
  <c r="F43" i="12" s="1"/>
  <c r="D41" i="12"/>
  <c r="F41" i="12" s="1"/>
  <c r="D39" i="12"/>
  <c r="F39" i="12" s="1"/>
  <c r="D42" i="12" l="1"/>
  <c r="F42" i="12" s="1"/>
  <c r="D45" i="12"/>
  <c r="F45" i="12" s="1"/>
  <c r="G47" i="12" l="1"/>
  <c r="P31" i="12" l="1"/>
  <c r="P19" i="12"/>
  <c r="P20" i="12" s="1"/>
  <c r="F28" i="12" l="1"/>
  <c r="F33" i="12"/>
  <c r="F27" i="12"/>
  <c r="G36" i="12" l="1"/>
  <c r="K6" i="29" l="1"/>
  <c r="G52" i="12"/>
  <c r="G53" i="12" s="1"/>
  <c r="G54" i="12" s="1"/>
  <c r="K43" i="3"/>
  <c r="L6" i="29" l="1"/>
  <c r="L7" i="29" s="1"/>
  <c r="S8" i="29"/>
  <c r="Q6" i="29"/>
  <c r="L8" i="29" l="1"/>
  <c r="L9" i="29" s="1"/>
  <c r="C14" i="50"/>
  <c r="P31" i="3" l="1"/>
  <c r="U31" i="3" s="1"/>
  <c r="P32" i="3"/>
  <c r="U32" i="3" s="1"/>
  <c r="L32" i="3"/>
  <c r="L31" i="3"/>
  <c r="K44" i="3"/>
  <c r="L33" i="3" l="1"/>
  <c r="L40" i="3"/>
  <c r="Q32" i="3"/>
  <c r="Q31" i="3"/>
  <c r="Q33" i="3" l="1"/>
  <c r="Q40" i="3" s="1"/>
  <c r="D14" i="50"/>
  <c r="V32" i="3"/>
  <c r="V31" i="3"/>
  <c r="G24" i="3"/>
  <c r="V33" i="3" l="1"/>
  <c r="V40" i="3" s="1"/>
  <c r="E14" i="50"/>
  <c r="G26" i="3"/>
  <c r="F14" i="50" l="1"/>
  <c r="C11" i="50"/>
  <c r="C18" i="50" s="1"/>
  <c r="G40" i="3"/>
  <c r="D18" i="50"/>
  <c r="G41" i="3" l="1"/>
  <c r="G43" i="3" s="1"/>
  <c r="E18" i="50"/>
  <c r="F18" i="50"/>
  <c r="G15" i="48"/>
  <c r="G18" i="48" s="1"/>
  <c r="F19" i="50" l="1"/>
  <c r="G30" i="48"/>
  <c r="G41" i="48"/>
  <c r="H30" i="48" l="1"/>
  <c r="H41" i="48" s="1"/>
  <c r="G43" i="48"/>
</calcChain>
</file>

<file path=xl/sharedStrings.xml><?xml version="1.0" encoding="utf-8"?>
<sst xmlns="http://schemas.openxmlformats.org/spreadsheetml/2006/main" count="1372" uniqueCount="458">
  <si>
    <t>CANTIDAD</t>
  </si>
  <si>
    <t>VALOR UNITARIO</t>
  </si>
  <si>
    <t>Mes</t>
  </si>
  <si>
    <t>TOTAL</t>
  </si>
  <si>
    <t>ACTIVIDAD</t>
  </si>
  <si>
    <t>ITEM</t>
  </si>
  <si>
    <t>SUBTOTAL POR VIGENCIA</t>
  </si>
  <si>
    <t>UNIDAD DE MEDIDA</t>
  </si>
  <si>
    <t>DESCRIPCION</t>
  </si>
  <si>
    <t>COMPONENTE</t>
  </si>
  <si>
    <t>VALOR POR COMPONENTE</t>
  </si>
  <si>
    <t>VALOR DE LA ACTIVIDAD POR AÑO</t>
  </si>
  <si>
    <t xml:space="preserve">VALOR TOTAL DE LA META </t>
  </si>
  <si>
    <t>Unidad</t>
  </si>
  <si>
    <t>Suministro e Instalación de Señal informativa, preventiva o reglamentaria en lámina galvanizada forma rectangular de 60cmx50cm, cuadrada de 60cmx60cm, circular de de 60cm diámetro, con reflectividad grado ingeniería y longitud del poste de 3,00m.</t>
  </si>
  <si>
    <t>Galón</t>
  </si>
  <si>
    <t>MATERIALES Y HERRAMIENTAS</t>
  </si>
  <si>
    <t>Pintura de tráfico acrílica blanca, base solvente  norma NTC-1360-1</t>
  </si>
  <si>
    <t>Pintura de tráfico acrílica Amarilla, base solvente norma NTC-1360-1</t>
  </si>
  <si>
    <t>Pintura de tráfico acrílica Roja, base solvente norma NTC-1360-1</t>
  </si>
  <si>
    <t>Pintura de tráfico acrílica Negra, base solvente norma NTC-1360-1</t>
  </si>
  <si>
    <t>Ajustador para pintura de tráfico acrílica (Aditivo)</t>
  </si>
  <si>
    <t>Brocha Profesional de 4"</t>
  </si>
  <si>
    <t>Brocha Profesional de 3"</t>
  </si>
  <si>
    <t xml:space="preserve">Thiner </t>
  </si>
  <si>
    <t>Cemento Gris tipo 1 x bulto de 50 Kg.</t>
  </si>
  <si>
    <t>Bulto</t>
  </si>
  <si>
    <t>Tiza blanca x caja de 100 unidades.</t>
  </si>
  <si>
    <t>Caja</t>
  </si>
  <si>
    <t xml:space="preserve">Cinta de seguridad para Cierre de vía en Rollos 500m x 10 cm, calibre 4 en material de polietileno, impreso en dos tintas. </t>
  </si>
  <si>
    <t>Rollos</t>
  </si>
  <si>
    <t>Lijas No. 120</t>
  </si>
  <si>
    <t>Lijas No. 150</t>
  </si>
  <si>
    <t>PROMEDIO DE PRECIOS DE MERCADO</t>
  </si>
  <si>
    <t>VALOR TOTAL</t>
  </si>
  <si>
    <t>COSTO TOTAL</t>
  </si>
  <si>
    <t>Lamina galvanizada cal 16" de 1,2mx2,4m</t>
  </si>
  <si>
    <t>Wash primer</t>
  </si>
  <si>
    <t>Esmalte</t>
  </si>
  <si>
    <t>Tiner Disolvente</t>
  </si>
  <si>
    <t>Soldadura (Kg) 6013</t>
  </si>
  <si>
    <t>Tornilleria</t>
  </si>
  <si>
    <t>Angulo 2*2*1/4</t>
  </si>
  <si>
    <t>Angulo 2*2*1/8</t>
  </si>
  <si>
    <t>Cemento</t>
  </si>
  <si>
    <t>Arena</t>
  </si>
  <si>
    <t>Triturado</t>
  </si>
  <si>
    <t>Galon</t>
  </si>
  <si>
    <t>Kg</t>
  </si>
  <si>
    <t>mts</t>
  </si>
  <si>
    <t>bulto</t>
  </si>
  <si>
    <t>m3</t>
  </si>
  <si>
    <r>
      <t>m</t>
    </r>
    <r>
      <rPr>
        <sz val="8"/>
        <rFont val="Calibri"/>
        <family val="2"/>
      </rPr>
      <t>³</t>
    </r>
  </si>
  <si>
    <t>Cinta Grado ingenieria 60cmsx60cm</t>
  </si>
  <si>
    <t>INSPECCION DE TRANSITO Y TRANSPORTE DE BARRANCABERMEJA</t>
  </si>
  <si>
    <t>ITTB</t>
  </si>
  <si>
    <t>ANALISIS DE PRECIOS UNITARIOS</t>
  </si>
  <si>
    <t>Item: Suministro e Instalación de Señal informativa, preventiva o reglamentaria en lámina galvanizada forma rectangular de 60cmx50cm, cuadrada de 60cmx60cm, circular de de 60cm diámetro, con reflectividad grado ingeniería y longitud del poste de 3,00m.</t>
  </si>
  <si>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>: Unidad</t>
    </r>
  </si>
  <si>
    <t xml:space="preserve">   I – EQUIPO Y TRANSPORTE</t>
  </si>
  <si>
    <t>Descripción</t>
  </si>
  <si>
    <t>Tipo</t>
  </si>
  <si>
    <t>Tarifa / Hora</t>
  </si>
  <si>
    <t>Rendimiento</t>
  </si>
  <si>
    <t>Valor - Unit</t>
  </si>
  <si>
    <t>Cortadora de lámina</t>
  </si>
  <si>
    <t>Equipo de pintura</t>
  </si>
  <si>
    <t>Cortadora de Angulo</t>
  </si>
  <si>
    <t>Equipo para soldar</t>
  </si>
  <si>
    <t>Equipo de serigrafía</t>
  </si>
  <si>
    <t>Glb</t>
  </si>
  <si>
    <t>Camioneta</t>
  </si>
  <si>
    <t>Sub - Total</t>
  </si>
  <si>
    <t xml:space="preserve">   I I - MATERIALES EN OBRA</t>
  </si>
  <si>
    <t>Precio - Unit</t>
  </si>
  <si>
    <t>Cantidad</t>
  </si>
  <si>
    <t>Aticorrosivo</t>
  </si>
  <si>
    <t xml:space="preserve">   IV - MANO DE OBRA</t>
  </si>
  <si>
    <t>Trabajador</t>
  </si>
  <si>
    <t>Jornal</t>
  </si>
  <si>
    <t>Prestaciones</t>
  </si>
  <si>
    <t>Jornal - Total</t>
  </si>
  <si>
    <t>Soldador</t>
  </si>
  <si>
    <t>Ayudante Tipo DD</t>
  </si>
  <si>
    <t>Ayudante Tipo CC</t>
  </si>
  <si>
    <t>Pintor</t>
  </si>
  <si>
    <t>Ayudante Tipo AA</t>
  </si>
  <si>
    <t>Serigrafista</t>
  </si>
  <si>
    <t xml:space="preserve">     Total   Costo    Directo</t>
  </si>
  <si>
    <t xml:space="preserve">   IV - COSTOS INDIRECTOS</t>
  </si>
  <si>
    <t>Porcentaje</t>
  </si>
  <si>
    <t>Valor Total</t>
  </si>
  <si>
    <t>SUBTOTAL</t>
  </si>
  <si>
    <t xml:space="preserve">PRECIO UNITARIO TOTAL APROXIMADO AL PESO </t>
  </si>
  <si>
    <t>UNIDAD MEDIDA</t>
  </si>
  <si>
    <t xml:space="preserve">VALOR TOTAL </t>
  </si>
  <si>
    <t>SECRETARIA DE INFRAESTRUCTURA</t>
  </si>
  <si>
    <t>MUNICIPIO DE BARRANCABERMEJA</t>
  </si>
  <si>
    <t>CODIGO</t>
  </si>
  <si>
    <t>JORNAL</t>
  </si>
  <si>
    <t>PRESTACIONES SOCIALES</t>
  </si>
  <si>
    <t>JORNAL INTEGRAL</t>
  </si>
  <si>
    <t>CON SUBSIDIO</t>
  </si>
  <si>
    <t>INCREMENTO</t>
  </si>
  <si>
    <t>SALARIO Y</t>
  </si>
  <si>
    <t>INTEGRAL</t>
  </si>
  <si>
    <t>ALIMENTACION</t>
  </si>
  <si>
    <t>PRESTACION</t>
  </si>
  <si>
    <t>AYUDANTE CUAD. TIPO AA</t>
  </si>
  <si>
    <t>AYUDANTE CUAD. TIPO BB</t>
  </si>
  <si>
    <t>AYUDANTE CUAD. TIPO CC</t>
  </si>
  <si>
    <t>AYUDANTE CUAD. TIPO DD</t>
  </si>
  <si>
    <t>AYUDANTE PRACTICO</t>
  </si>
  <si>
    <t xml:space="preserve">OFICIAL CUAD. TIPO AA </t>
  </si>
  <si>
    <t>OFICIAL CUAD. TIPO BB</t>
  </si>
  <si>
    <t>OFICIAL CUAD. TIPO CC</t>
  </si>
  <si>
    <t>OFICIAL CUAD. TIPO DD</t>
  </si>
  <si>
    <t>OFICIAL ESPECIALIZADO</t>
  </si>
  <si>
    <t>CONTRAMAESTRO</t>
  </si>
  <si>
    <t>MAESTRO</t>
  </si>
  <si>
    <t>TOPOGRAFO</t>
  </si>
  <si>
    <t>CADENERO</t>
  </si>
  <si>
    <t>CELADOR</t>
  </si>
  <si>
    <t>ALMACENISTA</t>
  </si>
  <si>
    <t>SECRETARIA</t>
  </si>
  <si>
    <t>Salario mínimo</t>
  </si>
  <si>
    <t>INGENIERO RESIDENTE</t>
  </si>
  <si>
    <t>Auxilio transporte</t>
  </si>
  <si>
    <t>AYUD.+OFICIAL CUAD. AA</t>
  </si>
  <si>
    <t>Hora diurna</t>
  </si>
  <si>
    <t>AYUD.+OFICIAL CUAD. BB</t>
  </si>
  <si>
    <t>Hora nocturna</t>
  </si>
  <si>
    <t>AYUD.+OFICIAL CUAD. CC</t>
  </si>
  <si>
    <t>Hora diurna en domin y festiv</t>
  </si>
  <si>
    <t>AYUD.+OFICIAL CUAD. DD</t>
  </si>
  <si>
    <t>Hora nocturna en domin y festiv</t>
  </si>
  <si>
    <t>AYUD.+PRAC.+OFICIAL CUAD. AA</t>
  </si>
  <si>
    <t>Hora extra diurna</t>
  </si>
  <si>
    <t>AYUD.+CADEN.+TOPOG</t>
  </si>
  <si>
    <t>Hora extra noctuna</t>
  </si>
  <si>
    <t>3 AYUD.+OFICIAL CUAD AA</t>
  </si>
  <si>
    <t>Hora extra en domin y festiva diurna</t>
  </si>
  <si>
    <t>RASTRILLERO</t>
  </si>
  <si>
    <t>Hora extra en domin y festiva nocturna</t>
  </si>
  <si>
    <t>SOLDADOR</t>
  </si>
  <si>
    <t>ANALISIS DE PRESTACIONES SOCIALES</t>
  </si>
  <si>
    <t>Cesantías</t>
  </si>
  <si>
    <t>Intereses sobre Cesantías</t>
  </si>
  <si>
    <t>Vacaciones</t>
  </si>
  <si>
    <t>Prima de Servicios</t>
  </si>
  <si>
    <t>Subsidio de Transporte</t>
  </si>
  <si>
    <t>Aportes al Sena</t>
  </si>
  <si>
    <t>Aportes a Bienestar Familiar</t>
  </si>
  <si>
    <t>Caja de Compensación Familiar</t>
  </si>
  <si>
    <t>Instituto de Seguros Sociales (Salud)</t>
  </si>
  <si>
    <t>Instituto de Seguros Sociales (Pensión)</t>
  </si>
  <si>
    <t>Riesgos Profesionales</t>
  </si>
  <si>
    <t>Dotación</t>
  </si>
  <si>
    <t>FIC. Sena</t>
  </si>
  <si>
    <t>TOTAL PRESTACIONES SOCIALES</t>
  </si>
  <si>
    <t>SUBSIDIO TRANSPORTE</t>
  </si>
  <si>
    <t>MENSUAL</t>
  </si>
  <si>
    <t>ANUAL</t>
  </si>
  <si>
    <t>DIARIO</t>
  </si>
  <si>
    <t>A.I.U.</t>
  </si>
  <si>
    <t>DESPERDICIO:</t>
  </si>
  <si>
    <t>SALARIO MINIMO</t>
  </si>
  <si>
    <t xml:space="preserve">VALOR     </t>
  </si>
  <si>
    <t>REF</t>
  </si>
  <si>
    <t>VALOR</t>
  </si>
  <si>
    <t xml:space="preserve">VALOR </t>
  </si>
  <si>
    <t>A</t>
  </si>
  <si>
    <t>B</t>
  </si>
  <si>
    <t>TOTAL MENSUAL</t>
  </si>
  <si>
    <t>C</t>
  </si>
  <si>
    <t>D</t>
  </si>
  <si>
    <t>ANUAL+SUBSIDIO TRANSP.</t>
  </si>
  <si>
    <t>E</t>
  </si>
  <si>
    <t>CONCEPTO</t>
  </si>
  <si>
    <t>BASE</t>
  </si>
  <si>
    <t>FACTOR</t>
  </si>
  <si>
    <t>%</t>
  </si>
  <si>
    <t>Salario anual ( 365 Dias)</t>
  </si>
  <si>
    <t>Subsidio de transporte</t>
  </si>
  <si>
    <t>PRESTACIONES</t>
  </si>
  <si>
    <t>Cesantia anual</t>
  </si>
  <si>
    <t>intereses cesantias</t>
  </si>
  <si>
    <t>Cesan</t>
  </si>
  <si>
    <t>Vacaciones 15 dias</t>
  </si>
  <si>
    <t>Prima de servicios 30 dias</t>
  </si>
  <si>
    <t>OTROS COSTOS</t>
  </si>
  <si>
    <t>Botas, overol y camisa</t>
  </si>
  <si>
    <t>Implementos de seguridad</t>
  </si>
  <si>
    <t>SEGURIDAD SOCIAL</t>
  </si>
  <si>
    <t>Pensiones</t>
  </si>
  <si>
    <t>Medicina familiar</t>
  </si>
  <si>
    <t>Riesgos profesionales</t>
  </si>
  <si>
    <t>APORTES SENA</t>
  </si>
  <si>
    <t>Aporte ordinario</t>
  </si>
  <si>
    <t>F.I.C.</t>
  </si>
  <si>
    <t>OTROS APORTES</t>
  </si>
  <si>
    <t>I.C.B.F.</t>
  </si>
  <si>
    <t>Subsidio familiar</t>
  </si>
  <si>
    <t>VALOR REAL DEL SALARIO</t>
  </si>
  <si>
    <t>ANÁLISIS DE PRECIOS UNITARIOS A.P.U.</t>
  </si>
  <si>
    <t>DESCRIPCIÓN</t>
  </si>
  <si>
    <t>PROYECTO "SUMINISTRO E INSTALACIÓN DE SEÑALIZACION VIAL EN EL MUNICIPIO DE BARRANCABERMEJA"</t>
  </si>
  <si>
    <t>Persona</t>
  </si>
  <si>
    <t>UNIDAD</t>
  </si>
  <si>
    <t>Edicion de Informes, reproduccion de documentos (incluye fotografias, archivos en medio magnetico)</t>
  </si>
  <si>
    <t>GASTOS DEDUCCIONES Y CONTRIBUCIONES</t>
  </si>
  <si>
    <t>Hospit (4)</t>
  </si>
  <si>
    <t>Anciano (4)</t>
  </si>
  <si>
    <t>Cultura     (2)</t>
  </si>
  <si>
    <t>Fonmur (4)</t>
  </si>
  <si>
    <t>PRO - UIS</t>
  </si>
  <si>
    <t>Prodesarrollo   (4)</t>
  </si>
  <si>
    <t>Sobretasa Estamp Pro-uis, Pro-Desarrol, Pro-Hospital  (5)</t>
  </si>
  <si>
    <t>fondo de seguridad</t>
  </si>
  <si>
    <t>DEDUCIONES Y CONTRIBUCIONES</t>
  </si>
  <si>
    <t>DEDIC</t>
  </si>
  <si>
    <t>MESES</t>
  </si>
  <si>
    <t>TARIFA</t>
  </si>
  <si>
    <t>F M</t>
  </si>
  <si>
    <t>1.</t>
  </si>
  <si>
    <t>PERSONAL</t>
  </si>
  <si>
    <t>1.1</t>
  </si>
  <si>
    <t>PERSONAL DIRECTIVO Y RESIDENTE</t>
  </si>
  <si>
    <t>1.1.1</t>
  </si>
  <si>
    <t>Director de interventoria</t>
  </si>
  <si>
    <t>1.1.2</t>
  </si>
  <si>
    <t>1.1.4</t>
  </si>
  <si>
    <t>(1) SUB TOTAL PERSONAL</t>
  </si>
  <si>
    <t>2.</t>
  </si>
  <si>
    <t>GASTOS OPERACIONALES</t>
  </si>
  <si>
    <t>(2) SUB TOTAL GASTOS OPERACIONALES</t>
  </si>
  <si>
    <t>(3)=(1)+(2) SUBTOTAL</t>
  </si>
  <si>
    <t>(4) DEDUCCIONES Y CONTRIBUCIONES</t>
  </si>
  <si>
    <t>(3)+(4) SUB-TOTAL</t>
  </si>
  <si>
    <t>IVA</t>
  </si>
  <si>
    <t>PRESUPUESTO  OFICIAL</t>
  </si>
  <si>
    <t>DESCRIPCION COSTO</t>
  </si>
  <si>
    <t>CONVEN</t>
  </si>
  <si>
    <t>FORMULA DE CALCULO</t>
  </si>
  <si>
    <t>VALOR (%)</t>
  </si>
  <si>
    <t>1. REMUNERACION</t>
  </si>
  <si>
    <t>SUELDO</t>
  </si>
  <si>
    <t>S</t>
  </si>
  <si>
    <t>(S) = 100</t>
  </si>
  <si>
    <t>2. PRESTACIONES SOCIALES Y PARAFISCALES</t>
  </si>
  <si>
    <t>a) Prima Anual</t>
  </si>
  <si>
    <t>P</t>
  </si>
  <si>
    <t>P = S/12</t>
  </si>
  <si>
    <t>b) Cesantía</t>
  </si>
  <si>
    <t>C = S/12</t>
  </si>
  <si>
    <t>c) Intereses de Cesantías</t>
  </si>
  <si>
    <t>IC</t>
  </si>
  <si>
    <t>IC = 12% anual</t>
  </si>
  <si>
    <t>RP</t>
  </si>
  <si>
    <t>6,96% del salario</t>
  </si>
  <si>
    <t>SS</t>
  </si>
  <si>
    <t>12% pensión, del salario</t>
  </si>
  <si>
    <t>SF</t>
  </si>
  <si>
    <t>4,0% del salario</t>
  </si>
  <si>
    <t>BF</t>
  </si>
  <si>
    <t>3% del salario</t>
  </si>
  <si>
    <t>SN</t>
  </si>
  <si>
    <t>2% del salario</t>
  </si>
  <si>
    <t>TOTAL PRESTACIONES SOCIALES Y PARAFISCALES</t>
  </si>
  <si>
    <t>PS</t>
  </si>
  <si>
    <t>3. COSTOS INDIRECTOS, GASTOS E IMPREVISTOS</t>
  </si>
  <si>
    <t>unidad de medida</t>
  </si>
  <si>
    <t>a) Gastos Generales de la administración</t>
  </si>
  <si>
    <t>GG</t>
  </si>
  <si>
    <t>b) Otros gastos(legalización, polizas y seguros, entre otros)</t>
  </si>
  <si>
    <t>Global</t>
  </si>
  <si>
    <t>OG</t>
  </si>
  <si>
    <t>c) Imprevistos en gastos, personal</t>
  </si>
  <si>
    <t>I</t>
  </si>
  <si>
    <t xml:space="preserve">SUB-TOTAL </t>
  </si>
  <si>
    <t>CI</t>
  </si>
  <si>
    <t xml:space="preserve">4. SUB-TOTAL </t>
  </si>
  <si>
    <t>TC</t>
  </si>
  <si>
    <t>TC = PS+CI</t>
  </si>
  <si>
    <t>5. HONORARIOS O UTILIDAD</t>
  </si>
  <si>
    <t>H</t>
  </si>
  <si>
    <t>H = % estimado de (TC)</t>
  </si>
  <si>
    <t>FACTOR MULTIPLICADOR</t>
  </si>
  <si>
    <t>FM</t>
  </si>
  <si>
    <t>FM = (S+TC+H)/100)</t>
  </si>
  <si>
    <t>*** la exoneración aplica solo para aquellos empleados que devenguen menos de 10 salarios mínimos mensuales ($6.160.000), en este caso los aportes a salud corresponden al 4% del IBC (antes 12,5%)  y no se deben hacer aportes en SENA e ICBF. Para los empleados que devenguen 10 o más salarios mínimos se continúan realizando todos los aportes de forma normal. Ley 1607 de 26-12-2012</t>
  </si>
  <si>
    <t>Secretaria</t>
  </si>
  <si>
    <t>2.3.</t>
  </si>
  <si>
    <t>ANÁLISIS DE PRECIOS DE MERCADO VS. A.P.U.´s</t>
  </si>
  <si>
    <t>VALOR TOTAL 2016</t>
  </si>
  <si>
    <t>REPRESENTACIONES LGB</t>
  </si>
  <si>
    <t>NOTA: Los precios cotizados tiene I.V.A. (16%) incluido</t>
  </si>
  <si>
    <t>AÑO 2015</t>
  </si>
  <si>
    <t>AJUSTE CENTENA</t>
  </si>
  <si>
    <t xml:space="preserve">VALOR TOTAL  PROMEDIO DE PRECIOS DEL MERCADO  </t>
  </si>
  <si>
    <t>VALOR TOTAL A.P.U.</t>
  </si>
  <si>
    <t>VALOR TOTAL DEL PROYECTO</t>
  </si>
  <si>
    <t>COSTO DIRECTO</t>
  </si>
  <si>
    <t>EJECUCIÓN</t>
  </si>
  <si>
    <t>OBRA</t>
  </si>
  <si>
    <t>sumin</t>
  </si>
  <si>
    <t>Cuñete (5 galones)</t>
  </si>
  <si>
    <t xml:space="preserve"> COSTO DIRECTO</t>
  </si>
  <si>
    <t>Pintura de tráfico acrílica Azul, base solvente norma NTC-1360-1</t>
  </si>
  <si>
    <t>Cinta de enmascarar de 2" x 40m</t>
  </si>
  <si>
    <t>Cinta reflectiva (Calcomanía) grado ingeniería para señal de tránsito informativa, preventiva o reglamentaria en forma rectangular de 60CMX60CM, circular de 60CM de diámetro.</t>
  </si>
  <si>
    <t>RANCHO FERRETERO</t>
  </si>
  <si>
    <t>ELECTIMARCAS</t>
  </si>
  <si>
    <t>Rodillos de felpa de 6"</t>
  </si>
  <si>
    <t>Rodillos de felpa de 4"</t>
  </si>
  <si>
    <t>PINTUVIAL LTDA</t>
  </si>
  <si>
    <t>FREESTONE CONSTRUCCIONES S.A.S.</t>
  </si>
  <si>
    <t>G.S.O.</t>
  </si>
  <si>
    <t xml:space="preserve">TOTAL CON IVA INCLUIDO </t>
  </si>
  <si>
    <t xml:space="preserve">TOTAL COSTO DIRECTO </t>
  </si>
  <si>
    <t>Herramienta menor</t>
  </si>
  <si>
    <t>VALOR TOTAL 2017</t>
  </si>
  <si>
    <t>VALOR TOTAL 2018</t>
  </si>
  <si>
    <t>PILAR: SEGURIDAD HUMANA.</t>
  </si>
  <si>
    <t>LINEA ESTRATÉGICA: DESARROLLO TERRITORIAL.</t>
  </si>
  <si>
    <t>PROGRAMA: SISTEMA INTEGRAL DE CONTROL DE TRÁNSITO.</t>
  </si>
  <si>
    <t xml:space="preserve">Suministro de insumos, materiales y herramientas para la señalización de algunas vías del municipio de Barrancabermeja </t>
  </si>
  <si>
    <t xml:space="preserve">Obra Pública para la señalización víal Horizontal en el municipio de Barrancabermeja </t>
  </si>
  <si>
    <t xml:space="preserve">Interventoría Técnica, Administrativa y Financiera para la señalización víal Horizontal en el Municipio de Barrancabermeja  </t>
  </si>
  <si>
    <t xml:space="preserve">Obra pública para la señalización vial Vertical en el Municipio de Barrancabermeja </t>
  </si>
  <si>
    <t xml:space="preserve">Interventoría Técnica, administrativa y financiera para la señalización vial vertical en el municipio de Barrancabermeja  </t>
  </si>
  <si>
    <t>VALOR TOTAL 2019</t>
  </si>
  <si>
    <t>2.1</t>
  </si>
  <si>
    <t>2.2</t>
  </si>
  <si>
    <t>2.3</t>
  </si>
  <si>
    <t>MANO DE OBRA   AÑO 2016</t>
  </si>
  <si>
    <r>
      <t>AÑO 201</t>
    </r>
    <r>
      <rPr>
        <b/>
        <sz val="10"/>
        <color indexed="8"/>
        <rFont val="Arial"/>
        <family val="2"/>
      </rPr>
      <t>6</t>
    </r>
  </si>
  <si>
    <t>d) Vacaciones</t>
  </si>
  <si>
    <t>V</t>
  </si>
  <si>
    <t>4,17% del salario</t>
  </si>
  <si>
    <t xml:space="preserve">e) Subsidio Familiar </t>
  </si>
  <si>
    <t>f) Pensiones</t>
  </si>
  <si>
    <t>g) Riesgos Profesionales</t>
  </si>
  <si>
    <t>h) I. C. B. F.***</t>
  </si>
  <si>
    <t>i) SENA***</t>
  </si>
  <si>
    <t>j) Salud</t>
  </si>
  <si>
    <t>SA</t>
  </si>
  <si>
    <t>k) Dotación</t>
  </si>
  <si>
    <t xml:space="preserve">PROYECTO "FORTALECIMIENTO DE LA SEÑALIZACIÓN VIAL EN EL MUNICIPIO DE BARRANCABERMEJA"                                                                                                                                   </t>
  </si>
  <si>
    <t>1. META 1: Demarcar 10.000 metros cuadrados de marcas viales, durante el cuatrienio.</t>
  </si>
  <si>
    <t>1.1. ACTIVIDAD 1: Apoyo para el fortalecimiento de la señalización vial en el municipio de Barrancabermeja.</t>
  </si>
  <si>
    <t>2. META 2: Demarcar 20.000 metros lineales, durante el cuatrienio.</t>
  </si>
  <si>
    <t>2.1. ACTIVIDAD 2: Apoyo para el fortalecimiento de la señalización vial horizontal en el municipio de Barrancabermeja.</t>
  </si>
  <si>
    <t>3. META 3: Instalar doscientas (200) señales verticales nuevas, durante el cuatrienio.</t>
  </si>
  <si>
    <t>PROYECTO "FORTALECIMIENTO DE LA SEÑALIZACIÓN VIAL EN EL MUNICIPIO DE BARRANCABERMEJA".</t>
  </si>
  <si>
    <r>
      <rPr>
        <b/>
        <u/>
        <sz val="12"/>
        <rFont val="Arial"/>
        <family val="2"/>
      </rPr>
      <t>ANÁLISIS DE PRECIOS</t>
    </r>
    <r>
      <rPr>
        <b/>
        <sz val="12"/>
        <rFont val="Arial"/>
        <family val="2"/>
      </rPr>
      <t>: Suministro de insumos, materiales y herramientas para la señalización de algunas vías del municipio de Barrancabermeja .</t>
    </r>
  </si>
  <si>
    <t>PROYECTO "FORTALECIMIENTO DE LA SEÑALIZACIÓN VIAL EN EL MUNICIPIO DE BARRANCABERMEJA"</t>
  </si>
  <si>
    <t>Ingeniero Residente</t>
  </si>
  <si>
    <t>PROYECTO: FORTALECIMIENTO DE LA SEÑALIZACIÓN VIAL EN EL MUNICIPIO DE BARRANCABERMEJA</t>
  </si>
  <si>
    <t>AIU</t>
  </si>
  <si>
    <t>PRESUPUESTO OFICIAL</t>
  </si>
  <si>
    <t>(A+B+C) TOTAL (AIU)</t>
  </si>
  <si>
    <t>(C)  SUBTOTAL</t>
  </si>
  <si>
    <t>UTILIDAD ESPERADA (6%)</t>
  </si>
  <si>
    <t xml:space="preserve">C) UTILIDAD </t>
  </si>
  <si>
    <t>(B) SUBTOTAL</t>
  </si>
  <si>
    <t>IMPREVISTOS (2%)</t>
  </si>
  <si>
    <t>V-PARCIAL</t>
  </si>
  <si>
    <t>V-PRECIO</t>
  </si>
  <si>
    <t>IMPREVISTOS</t>
  </si>
  <si>
    <t>B) IMPREVISTOS</t>
  </si>
  <si>
    <t>(A) SUBTOTAL ADMINISTRACION</t>
  </si>
  <si>
    <t>DEDUCCIONES Y CONTRIBUCIONES (15,6%)</t>
  </si>
  <si>
    <t>OTROS</t>
  </si>
  <si>
    <t>GL</t>
  </si>
  <si>
    <t>GASTOS DE COMUNICACIONES</t>
  </si>
  <si>
    <t>MES</t>
  </si>
  <si>
    <t>EQUIPOS DE OFICINA</t>
  </si>
  <si>
    <t>GASTOS ADMINISTRATIVOS Y SOPORTE (ENSAYOS. ARRIENDOS, DOTACION, PAPELERIA, GARANTIAS, SERVICIOS FINANCIEROS, OTROS)</t>
  </si>
  <si>
    <t>GASTOS GENERALES</t>
  </si>
  <si>
    <t>*EL PRECIO ESTIMADO PARA EL PERSONAL CONSIDERA LOS APORTES PARAFISCALES, SEGURIDAD SOCIAL SEGÚN LO DISPUESTO EN LA LEY VIGENTE.</t>
  </si>
  <si>
    <t xml:space="preserve">INSPECTOR HSEQ </t>
  </si>
  <si>
    <t>INSPECTOR DE OBRA</t>
  </si>
  <si>
    <t>DIRECTOR DE OBRA (50%)</t>
  </si>
  <si>
    <t>PERSONAL ADMINISTRATIVO</t>
  </si>
  <si>
    <t>A) ADMINISTRACION</t>
  </si>
  <si>
    <t>PORCENTAJES AIU</t>
  </si>
  <si>
    <t>DEDICACIÓN</t>
  </si>
  <si>
    <t>DURACION</t>
  </si>
  <si>
    <t>INGENIERO RESIDENTE (100%)</t>
  </si>
  <si>
    <t>Ing. Especialista de proyectos</t>
  </si>
  <si>
    <t>PRESUPUESTO CONSOLIDADO 2016 - 2019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</si>
  <si>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</si>
  <si>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</si>
  <si>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</si>
  <si>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</si>
  <si>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</si>
  <si>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</si>
  <si>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</si>
  <si>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</si>
  <si>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</si>
  <si>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</si>
  <si>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</si>
  <si>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</si>
  <si>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SUBTOTAL META 1</t>
  </si>
  <si>
    <t>SUBTOTAL META 2</t>
  </si>
  <si>
    <t>PROYECTO: "FORTALECIMIENTO DE LA SEÑALIZACIÓN VIAL EN EL MUNICIPIO DE BARRANCABERMEJA"</t>
  </si>
  <si>
    <t>SUBTOTAL META 3</t>
  </si>
  <si>
    <t>ACTIVIDAD 2: Apoyo para el fortalecimiento de la señalización vial horizontal en el municipio de Barrancabermeja.</t>
  </si>
  <si>
    <t>ACTIVIDAD 1: Apoyo para el fortalecimiento de la señalización vial en el municipio de Barrancabermeja.</t>
  </si>
  <si>
    <t>3. META 3:  Instalar doscientas (200) señales verticales nuevas, durante el cuatrienio.</t>
  </si>
  <si>
    <t>PRESUPUESTO DE INTERVENTORÍA PARA LA SEÑALIZACIÓN VERTICAL</t>
  </si>
  <si>
    <t>ANEXO FACTOR MULTIPLICADOR SOBRE COSTOS DE PERSONAL</t>
  </si>
  <si>
    <t>Obra pública para la señalización vial Vertical en el Municipio de Barrancabermeja.</t>
  </si>
  <si>
    <t>ANEXO PRESUPUESTO - A.I.U.</t>
  </si>
  <si>
    <t>4. META 4: Realizar mantenimiento a cien (100) señales verticales, durante el cuatrienio.</t>
  </si>
  <si>
    <t>Cotizaciónes con incremento del IPC 2017</t>
  </si>
  <si>
    <t>A.I.U. (35%)</t>
  </si>
  <si>
    <t xml:space="preserve">INGENIERO RESIDENTE </t>
  </si>
  <si>
    <t xml:space="preserve">DIRECTOR DE OBRA </t>
  </si>
  <si>
    <t>ALBERTO RAFAEL COTES ACOSTA</t>
  </si>
  <si>
    <t xml:space="preserve">                                                                                    Director de Transito y Transporte Barrancabermeja</t>
  </si>
  <si>
    <t xml:space="preserve">                                                              ALBERTO RAFAEL COTES ACOSTA</t>
  </si>
  <si>
    <t>ANEXO A.I.U. OBRA SEÑALIZACIÓN VERTICAL</t>
  </si>
  <si>
    <t>Fecha: Enero de 2017</t>
  </si>
  <si>
    <t>Mantenimeinto de Señal informativa, preventiva o reglamentaria en lámina galvanizada forma rectangular de 60cmx50cm, cuadrada de 60cmx60cm, circular de de 60cm diámetro.</t>
  </si>
  <si>
    <t>Item: Mantenimiento de Señal informativa, preventiva o reglamentaria en lámina galvanizada forma rectangular de 60cmx50cm, cuadrada de 60cmx60cm, circular de de 60cm diámetro.</t>
  </si>
  <si>
    <t>con AIU</t>
  </si>
  <si>
    <t>Obra pública para el mantenimiento de señales verticales en el municipio de Barrancabermeja.</t>
  </si>
  <si>
    <t>3.1. ACTIVIDAD 5: Apoyo para el fortalecimiento de la señalización vial vertical en el municipio de Barrancabermeja.</t>
  </si>
  <si>
    <t>4.1. ACTIVIDAD 7: Apoyo para el mantenimiento de señales verticales en el muncipio de Barrancabermeja.</t>
  </si>
  <si>
    <t>CRONOGRAMA FÍSICO-FINANCIERO AÑO 2017</t>
  </si>
  <si>
    <t>SUBTOTAL META 4</t>
  </si>
  <si>
    <t>ACTIVIDAD 7: Apoyo para el mantenimiento de señales verticales en el muncipio de Barrancabermeja.</t>
  </si>
  <si>
    <t>Director Transito y Transporte de Barrancabermeja</t>
  </si>
  <si>
    <t>VALOR TOTAL POR VIGENCIA 2017</t>
  </si>
  <si>
    <t>PRESUPUESTO DETALLADO 2016 - 2019</t>
  </si>
  <si>
    <t>Alquiler de máquina portátil para la demarcación horizontal de vías.</t>
  </si>
  <si>
    <t>Prestación de Servicios Profesionales como Ingeniero Civil o de Vías y Transporte para apoyo de las actividades administrativas en materia de Señalización y demas que requiera la División Técnica de la ITTB.</t>
  </si>
  <si>
    <t xml:space="preserve">Prestación de servicios de apoyo a la gestión como ayudantes de señalización. </t>
  </si>
  <si>
    <t>Prestación de servicios de apoyo a la gestión como ayudantes de señalización. 2 personas por 3 meses y 12 días.</t>
  </si>
  <si>
    <t>ACTIVIDAD 3: Apoyo para el fortalecimiento de la señalización vial vertical en el municipio de Barrancabermeja.</t>
  </si>
  <si>
    <t>MANO DE OBRA CALIFICADA</t>
  </si>
  <si>
    <t>MANO DE NO OBRA CALIFICADA</t>
  </si>
  <si>
    <t xml:space="preserve">OTROS GASTOS GENERALES </t>
  </si>
  <si>
    <t>PRESUPUESTO EJECUTADO 2016</t>
  </si>
  <si>
    <t>PRESUPUESTO PROGRAMADO 2016</t>
  </si>
  <si>
    <t>VALOR EJECUTADO 2016</t>
  </si>
  <si>
    <t>VALOR PROGRAMADO 2016</t>
  </si>
  <si>
    <t xml:space="preserve">PRESUPUESTO EJECUTADO 2016 </t>
  </si>
  <si>
    <t>PRESUPUESTO DETALLADO 2017</t>
  </si>
  <si>
    <t>PRESUPUESTO 2017</t>
  </si>
  <si>
    <t xml:space="preserve">MANO DE OBRA CALIFICADA </t>
  </si>
  <si>
    <t>OTROS GASTOS GENERALES</t>
  </si>
  <si>
    <t>3.1. ACTIVIDAD 3: Apoyo para el fortalecimiento de la señalización vial vertical en el municipio de Barrancabermeja.</t>
  </si>
  <si>
    <t>4.1. ACTIVIDAD 4: Apoyo para el mantenimiento de señales verticales en el muncipio de Barrancabermeja.</t>
  </si>
  <si>
    <t>2.3. ACTIVIDAD 2: Insumos, materiales y herramientas para la señalización vial en el Municipio de Barrancabermeja.</t>
  </si>
  <si>
    <t>Prestación de servicios de apoyo a la gestión como ayudantes de señalización.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</si>
</sst>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40A]\ #,##0"/>
    <numFmt numFmtId="167" formatCode="#,##0\ _€"/>
    <numFmt numFmtId="168" formatCode="0.0"/>
    <numFmt numFmtId="169" formatCode="0.000"/>
    <numFmt numFmtId="170" formatCode="&quot;$&quot;\ #,##0"/>
    <numFmt numFmtId="171" formatCode="#,##0&quot; $&quot;;[Red]\-#,##0&quot; $&quot;"/>
    <numFmt numFmtId="172" formatCode="[$$-240A]#,##0;[Red]\([$$-240A]#,##0\)"/>
    <numFmt numFmtId="173" formatCode="[$$-240A]#,##0.00;[Red]\([$$-240A]#,##0.00\)"/>
    <numFmt numFmtId="174" formatCode="0.0000"/>
    <numFmt numFmtId="175" formatCode="[$$-2C0A]#,##0"/>
    <numFmt numFmtId="176" formatCode="_-* #,##0.00\ _P_t_s_-;\-* #,##0.00\ _P_t_s_-;_-* &quot;-&quot;\ _P_t_s_-;_-@_-"/>
    <numFmt numFmtId="177" formatCode="_-* #,##0.000000000\ _P_t_s_-;\-* #,##0.000000000\ _P_t_s_-;_-* &quot;-&quot;\ _P_t_s_-;_-@_-"/>
    <numFmt numFmtId="178" formatCode="[$$-2C0A]\ #,##0.00"/>
    <numFmt numFmtId="179" formatCode="0.000%"/>
    <numFmt numFmtId="180" formatCode="[$$-240A]\ #,##0.00"/>
    <numFmt numFmtId="181" formatCode="0.0%"/>
    <numFmt numFmtId="182" formatCode="_(&quot;$&quot;\ * #,##0_);_(&quot;$&quot;\ * \(#,##0\);_(&quot;$&quot;\ * &quot;-&quot;??_);_(@_)"/>
    <numFmt numFmtId="183" formatCode="_-* #,##0\ _€_-;\-* #,##0\ _€_-;_-* &quot;-&quot;??\ _€_-;_-@_-"/>
  </numFmts>
  <fonts count="6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Courier"/>
      <family val="3"/>
    </font>
    <font>
      <b/>
      <sz val="14"/>
      <name val="Garamond"/>
      <family val="1"/>
    </font>
    <font>
      <b/>
      <sz val="11"/>
      <name val="Garamond"/>
      <family val="1"/>
    </font>
    <font>
      <sz val="14"/>
      <name val="Arial"/>
      <family val="2"/>
    </font>
    <font>
      <b/>
      <sz val="16"/>
      <name val="Garamond"/>
      <family val="1"/>
    </font>
    <font>
      <b/>
      <sz val="8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1A1A1A"/>
      <name val="Arial"/>
      <family val="2"/>
    </font>
    <font>
      <sz val="8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1A1A1A"/>
      <name val="Arial"/>
      <family val="2"/>
    </font>
    <font>
      <b/>
      <u/>
      <sz val="12"/>
      <name val="Arial"/>
      <family val="2"/>
    </font>
    <font>
      <b/>
      <sz val="15"/>
      <color theme="1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sz val="16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71" fontId="3" fillId="0" borderId="0" applyFill="0" applyAlignment="0" applyProtection="0"/>
    <xf numFmtId="43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21" fillId="0" borderId="0"/>
    <xf numFmtId="0" fontId="3" fillId="0" borderId="0"/>
    <xf numFmtId="0" fontId="24" fillId="0" borderId="0"/>
    <xf numFmtId="9" fontId="26" fillId="0" borderId="0" applyFont="0" applyFill="0" applyBorder="0" applyAlignment="0" applyProtection="0"/>
    <xf numFmtId="9" fontId="3" fillId="0" borderId="0" applyFill="0" applyAlignment="0" applyProtection="0"/>
    <xf numFmtId="0" fontId="3" fillId="0" borderId="0">
      <alignment vertical="top"/>
    </xf>
    <xf numFmtId="41" fontId="3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ill="0" applyAlignment="0" applyProtection="0"/>
    <xf numFmtId="44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/>
  </cellStyleXfs>
  <cellXfs count="882">
    <xf numFmtId="0" fontId="0" fillId="0" borderId="0" xfId="0"/>
    <xf numFmtId="0" fontId="27" fillId="0" borderId="0" xfId="0" applyFont="1" applyAlignment="1">
      <alignment vertical="center" wrapText="1"/>
    </xf>
    <xf numFmtId="0" fontId="27" fillId="0" borderId="0" xfId="0" applyNumberFormat="1" applyFont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0" fontId="0" fillId="0" borderId="0" xfId="0"/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166" fontId="30" fillId="0" borderId="0" xfId="0" applyNumberFormat="1" applyFont="1" applyAlignment="1">
      <alignment horizontal="center" vertical="center" wrapText="1"/>
    </xf>
    <xf numFmtId="166" fontId="0" fillId="0" borderId="0" xfId="0" applyNumberFormat="1"/>
    <xf numFmtId="0" fontId="3" fillId="0" borderId="0" xfId="5" applyFont="1" applyBorder="1"/>
    <xf numFmtId="0" fontId="3" fillId="0" borderId="0" xfId="5"/>
    <xf numFmtId="0" fontId="13" fillId="0" borderId="7" xfId="5" applyFont="1" applyBorder="1" applyAlignment="1">
      <alignment horizontal="center"/>
    </xf>
    <xf numFmtId="0" fontId="13" fillId="0" borderId="8" xfId="5" applyFont="1" applyBorder="1" applyAlignment="1">
      <alignment horizontal="center"/>
    </xf>
    <xf numFmtId="2" fontId="13" fillId="0" borderId="7" xfId="5" applyNumberFormat="1" applyFont="1" applyBorder="1" applyAlignment="1">
      <alignment horizontal="center"/>
    </xf>
    <xf numFmtId="171" fontId="13" fillId="0" borderId="9" xfId="1" applyFont="1" applyFill="1" applyBorder="1" applyAlignment="1" applyProtection="1"/>
    <xf numFmtId="172" fontId="13" fillId="0" borderId="7" xfId="1" applyNumberFormat="1" applyFont="1" applyFill="1" applyBorder="1" applyAlignment="1" applyProtection="1">
      <alignment horizontal="center"/>
    </xf>
    <xf numFmtId="0" fontId="13" fillId="0" borderId="10" xfId="5" applyFont="1" applyBorder="1"/>
    <xf numFmtId="0" fontId="13" fillId="0" borderId="0" xfId="5" applyFont="1" applyBorder="1"/>
    <xf numFmtId="171" fontId="13" fillId="0" borderId="0" xfId="1" applyFont="1" applyFill="1" applyBorder="1" applyAlignment="1" applyProtection="1"/>
    <xf numFmtId="171" fontId="13" fillId="0" borderId="0" xfId="1" applyFont="1" applyFill="1" applyBorder="1" applyAlignment="1" applyProtection="1">
      <alignment horizontal="left"/>
    </xf>
    <xf numFmtId="172" fontId="13" fillId="0" borderId="11" xfId="1" applyNumberFormat="1" applyFont="1" applyFill="1" applyBorder="1" applyAlignment="1" applyProtection="1">
      <alignment horizontal="center"/>
    </xf>
    <xf numFmtId="171" fontId="13" fillId="0" borderId="8" xfId="1" applyFont="1" applyFill="1" applyBorder="1" applyAlignment="1" applyProtection="1"/>
    <xf numFmtId="169" fontId="13" fillId="0" borderId="7" xfId="5" applyNumberFormat="1" applyFont="1" applyBorder="1" applyAlignment="1">
      <alignment horizontal="center"/>
    </xf>
    <xf numFmtId="3" fontId="3" fillId="0" borderId="0" xfId="5" applyNumberFormat="1"/>
    <xf numFmtId="173" fontId="13" fillId="0" borderId="7" xfId="1" applyNumberFormat="1" applyFont="1" applyFill="1" applyBorder="1" applyAlignment="1" applyProtection="1">
      <alignment horizontal="center"/>
    </xf>
    <xf numFmtId="172" fontId="3" fillId="0" borderId="0" xfId="5" applyNumberFormat="1"/>
    <xf numFmtId="172" fontId="13" fillId="0" borderId="14" xfId="5" applyNumberFormat="1" applyFont="1" applyBorder="1" applyAlignment="1">
      <alignment horizontal="center"/>
    </xf>
    <xf numFmtId="168" fontId="13" fillId="0" borderId="7" xfId="5" applyNumberFormat="1" applyFont="1" applyBorder="1" applyAlignment="1">
      <alignment horizontal="center"/>
    </xf>
    <xf numFmtId="0" fontId="3" fillId="0" borderId="10" xfId="5" applyFont="1" applyBorder="1"/>
    <xf numFmtId="9" fontId="13" fillId="0" borderId="15" xfId="11" applyFont="1" applyFill="1" applyBorder="1" applyAlignment="1" applyProtection="1">
      <alignment horizontal="center"/>
    </xf>
    <xf numFmtId="172" fontId="13" fillId="0" borderId="16" xfId="1" applyNumberFormat="1" applyFont="1" applyFill="1" applyBorder="1" applyAlignment="1" applyProtection="1">
      <alignment horizontal="center"/>
    </xf>
    <xf numFmtId="172" fontId="13" fillId="0" borderId="17" xfId="5" applyNumberFormat="1" applyFont="1" applyBorder="1" applyAlignment="1">
      <alignment horizontal="center"/>
    </xf>
    <xf numFmtId="0" fontId="3" fillId="0" borderId="0" xfId="5" applyFont="1"/>
    <xf numFmtId="166" fontId="31" fillId="5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6" fontId="31" fillId="0" borderId="3" xfId="0" applyNumberFormat="1" applyFont="1" applyBorder="1" applyAlignment="1">
      <alignment horizontal="center" vertical="center"/>
    </xf>
    <xf numFmtId="166" fontId="32" fillId="0" borderId="3" xfId="0" applyNumberFormat="1" applyFont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0" fontId="3" fillId="0" borderId="0" xfId="5" applyFill="1"/>
    <xf numFmtId="172" fontId="13" fillId="0" borderId="8" xfId="1" applyNumberFormat="1" applyFont="1" applyFill="1" applyBorder="1" applyAlignment="1" applyProtection="1">
      <alignment horizontal="center"/>
    </xf>
    <xf numFmtId="0" fontId="13" fillId="0" borderId="9" xfId="5" applyFont="1" applyBorder="1" applyAlignment="1">
      <alignment horizontal="center"/>
    </xf>
    <xf numFmtId="0" fontId="3" fillId="10" borderId="5" xfId="5" applyFont="1" applyFill="1" applyBorder="1"/>
    <xf numFmtId="0" fontId="13" fillId="10" borderId="5" xfId="5" applyFont="1" applyFill="1" applyBorder="1"/>
    <xf numFmtId="171" fontId="13" fillId="10" borderId="5" xfId="1" applyFont="1" applyFill="1" applyBorder="1" applyAlignment="1" applyProtection="1"/>
    <xf numFmtId="171" fontId="13" fillId="10" borderId="6" xfId="1" applyFont="1" applyFill="1" applyBorder="1" applyAlignment="1" applyProtection="1"/>
    <xf numFmtId="0" fontId="4" fillId="10" borderId="4" xfId="5" applyFont="1" applyFill="1" applyBorder="1" applyAlignment="1">
      <alignment horizontal="left"/>
    </xf>
    <xf numFmtId="0" fontId="2" fillId="10" borderId="5" xfId="5" applyFont="1" applyFill="1" applyBorder="1"/>
    <xf numFmtId="171" fontId="2" fillId="10" borderId="5" xfId="1" applyFont="1" applyFill="1" applyBorder="1" applyAlignment="1" applyProtection="1"/>
    <xf numFmtId="171" fontId="2" fillId="10" borderId="6" xfId="1" applyFont="1" applyFill="1" applyBorder="1" applyAlignment="1" applyProtection="1"/>
    <xf numFmtId="0" fontId="13" fillId="0" borderId="52" xfId="5" applyFont="1" applyBorder="1" applyAlignment="1">
      <alignment horizontal="center"/>
    </xf>
    <xf numFmtId="171" fontId="13" fillId="0" borderId="52" xfId="1" applyFont="1" applyFill="1" applyBorder="1" applyAlignment="1" applyProtection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justify" vertical="top" wrapText="1"/>
    </xf>
    <xf numFmtId="0" fontId="33" fillId="0" borderId="3" xfId="0" applyFont="1" applyBorder="1" applyAlignment="1">
      <alignment horizontal="center" vertical="center" wrapText="1"/>
    </xf>
    <xf numFmtId="0" fontId="33" fillId="11" borderId="3" xfId="0" applyFont="1" applyFill="1" applyBorder="1" applyAlignment="1">
      <alignment horizontal="center" vertical="center"/>
    </xf>
    <xf numFmtId="166" fontId="31" fillId="9" borderId="3" xfId="0" applyNumberFormat="1" applyFont="1" applyFill="1" applyBorder="1" applyAlignment="1">
      <alignment vertical="center" wrapText="1"/>
    </xf>
    <xf numFmtId="166" fontId="31" fillId="9" borderId="3" xfId="0" applyNumberFormat="1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vertical="center" wrapText="1"/>
    </xf>
    <xf numFmtId="0" fontId="31" fillId="5" borderId="30" xfId="0" applyNumberFormat="1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 wrapText="1"/>
    </xf>
    <xf numFmtId="0" fontId="31" fillId="9" borderId="53" xfId="0" applyFont="1" applyFill="1" applyBorder="1" applyAlignment="1">
      <alignment vertical="center" wrapText="1"/>
    </xf>
    <xf numFmtId="0" fontId="31" fillId="9" borderId="43" xfId="0" applyFont="1" applyFill="1" applyBorder="1" applyAlignment="1">
      <alignment vertical="center" wrapText="1"/>
    </xf>
    <xf numFmtId="0" fontId="12" fillId="10" borderId="54" xfId="5" applyFont="1" applyFill="1" applyBorder="1" applyAlignment="1">
      <alignment horizontal="center"/>
    </xf>
    <xf numFmtId="0" fontId="12" fillId="10" borderId="55" xfId="5" applyFont="1" applyFill="1" applyBorder="1" applyAlignment="1">
      <alignment horizontal="center"/>
    </xf>
    <xf numFmtId="171" fontId="12" fillId="10" borderId="55" xfId="1" applyFont="1" applyFill="1" applyBorder="1" applyAlignment="1" applyProtection="1">
      <alignment horizontal="center"/>
    </xf>
    <xf numFmtId="0" fontId="13" fillId="0" borderId="13" xfId="5" applyFont="1" applyBorder="1" applyAlignment="1">
      <alignment horizontal="left"/>
    </xf>
    <xf numFmtId="0" fontId="31" fillId="5" borderId="3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166" fontId="32" fillId="0" borderId="3" xfId="0" applyNumberFormat="1" applyFont="1" applyFill="1" applyBorder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3" fillId="4" borderId="56" xfId="5" applyFont="1" applyFill="1" applyBorder="1"/>
    <xf numFmtId="0" fontId="3" fillId="4" borderId="0" xfId="5" applyFont="1" applyFill="1" applyBorder="1"/>
    <xf numFmtId="0" fontId="3" fillId="4" borderId="0" xfId="5" applyFill="1"/>
    <xf numFmtId="0" fontId="3" fillId="4" borderId="57" xfId="5" applyFont="1" applyFill="1" applyBorder="1"/>
    <xf numFmtId="0" fontId="27" fillId="0" borderId="0" xfId="0" applyFont="1" applyAlignment="1">
      <alignment horizontal="left" vertical="center" wrapText="1"/>
    </xf>
    <xf numFmtId="166" fontId="31" fillId="0" borderId="3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12" borderId="72" xfId="0" applyFont="1" applyFill="1" applyBorder="1" applyAlignment="1">
      <alignment horizontal="center" vertical="center"/>
    </xf>
    <xf numFmtId="0" fontId="30" fillId="12" borderId="72" xfId="0" applyFont="1" applyFill="1" applyBorder="1" applyAlignment="1">
      <alignment horizontal="center" vertical="center" wrapText="1"/>
    </xf>
    <xf numFmtId="0" fontId="30" fillId="12" borderId="7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4" fontId="3" fillId="13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justify" vertical="center" wrapText="1"/>
    </xf>
    <xf numFmtId="0" fontId="27" fillId="13" borderId="3" xfId="0" applyFont="1" applyFill="1" applyBorder="1" applyAlignment="1">
      <alignment horizontal="center" vertical="center"/>
    </xf>
    <xf numFmtId="10" fontId="30" fillId="0" borderId="3" xfId="10" applyNumberFormat="1" applyFont="1" applyBorder="1" applyAlignment="1">
      <alignment vertical="center"/>
    </xf>
    <xf numFmtId="0" fontId="27" fillId="0" borderId="0" xfId="0" applyFont="1"/>
    <xf numFmtId="0" fontId="8" fillId="0" borderId="32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3" fillId="4" borderId="2" xfId="5" applyFont="1" applyFill="1" applyBorder="1"/>
    <xf numFmtId="0" fontId="3" fillId="4" borderId="78" xfId="5" applyFont="1" applyFill="1" applyBorder="1"/>
    <xf numFmtId="0" fontId="30" fillId="12" borderId="7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27" fillId="0" borderId="4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0" fillId="0" borderId="33" xfId="0" applyNumberFormat="1" applyFont="1" applyBorder="1" applyAlignment="1">
      <alignment horizontal="right" vertical="center"/>
    </xf>
    <xf numFmtId="9" fontId="30" fillId="0" borderId="3" xfId="10" applyNumberFormat="1" applyFont="1" applyBorder="1" applyAlignment="1">
      <alignment vertical="center"/>
    </xf>
    <xf numFmtId="3" fontId="27" fillId="0" borderId="33" xfId="0" applyNumberFormat="1" applyFont="1" applyBorder="1" applyAlignment="1">
      <alignment vertical="center"/>
    </xf>
    <xf numFmtId="3" fontId="30" fillId="4" borderId="33" xfId="0" applyNumberFormat="1" applyFont="1" applyFill="1" applyBorder="1" applyAlignment="1">
      <alignment vertical="center"/>
    </xf>
    <xf numFmtId="3" fontId="30" fillId="0" borderId="33" xfId="0" applyNumberFormat="1" applyFont="1" applyBorder="1" applyAlignment="1">
      <alignment vertical="center"/>
    </xf>
    <xf numFmtId="3" fontId="30" fillId="0" borderId="33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0" fontId="36" fillId="12" borderId="71" xfId="0" applyFont="1" applyFill="1" applyBorder="1" applyAlignment="1">
      <alignment horizontal="center" vertical="center"/>
    </xf>
    <xf numFmtId="0" fontId="36" fillId="12" borderId="72" xfId="0" applyFont="1" applyFill="1" applyBorder="1" applyAlignment="1">
      <alignment horizontal="center" vertical="center"/>
    </xf>
    <xf numFmtId="0" fontId="36" fillId="12" borderId="72" xfId="0" applyFont="1" applyFill="1" applyBorder="1" applyAlignment="1">
      <alignment horizontal="center" vertical="center" wrapText="1"/>
    </xf>
    <xf numFmtId="0" fontId="36" fillId="12" borderId="73" xfId="0" applyFont="1" applyFill="1" applyBorder="1" applyAlignment="1">
      <alignment horizontal="center" vertical="center" wrapText="1"/>
    </xf>
    <xf numFmtId="0" fontId="35" fillId="0" borderId="0" xfId="0" applyFont="1"/>
    <xf numFmtId="1" fontId="13" fillId="0" borderId="7" xfId="5" applyNumberFormat="1" applyFont="1" applyBorder="1" applyAlignment="1">
      <alignment horizontal="center"/>
    </xf>
    <xf numFmtId="166" fontId="38" fillId="0" borderId="0" xfId="0" applyNumberFormat="1" applyFont="1" applyAlignment="1">
      <alignment vertical="center" wrapText="1"/>
    </xf>
    <xf numFmtId="3" fontId="3" fillId="0" borderId="33" xfId="0" applyNumberFormat="1" applyFont="1" applyBorder="1" applyAlignment="1">
      <alignment horizontal="right" vertical="center"/>
    </xf>
    <xf numFmtId="0" fontId="27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1" fillId="5" borderId="3" xfId="0" applyFont="1" applyFill="1" applyBorder="1" applyAlignment="1">
      <alignment horizontal="center" vertical="center" wrapText="1"/>
    </xf>
    <xf numFmtId="0" fontId="31" fillId="5" borderId="3" xfId="0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166" fontId="39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left" vertical="center"/>
    </xf>
    <xf numFmtId="0" fontId="32" fillId="0" borderId="0" xfId="0" applyNumberFormat="1" applyFont="1" applyAlignment="1">
      <alignment horizontal="left" vertical="center"/>
    </xf>
    <xf numFmtId="166" fontId="32" fillId="0" borderId="44" xfId="0" applyNumberFormat="1" applyFont="1" applyFill="1" applyBorder="1" applyAlignment="1">
      <alignment horizontal="center" vertical="center"/>
    </xf>
    <xf numFmtId="166" fontId="31" fillId="5" borderId="3" xfId="0" applyNumberFormat="1" applyFont="1" applyFill="1" applyBorder="1" applyAlignment="1">
      <alignment horizontal="center" vertical="center" wrapText="1"/>
    </xf>
    <xf numFmtId="0" fontId="16" fillId="0" borderId="0" xfId="12" applyFont="1" applyBorder="1" applyAlignment="1">
      <alignment horizontal="center"/>
    </xf>
    <xf numFmtId="0" fontId="3" fillId="0" borderId="0" xfId="12">
      <alignment vertical="top"/>
    </xf>
    <xf numFmtId="0" fontId="3" fillId="0" borderId="0" xfId="12" applyAlignment="1">
      <alignment horizontal="center"/>
    </xf>
    <xf numFmtId="2" fontId="17" fillId="0" borderId="0" xfId="12" applyNumberFormat="1" applyFont="1" applyBorder="1" applyAlignment="1">
      <alignment horizontal="center"/>
    </xf>
    <xf numFmtId="0" fontId="11" fillId="0" borderId="0" xfId="12" applyFont="1" applyBorder="1" applyAlignment="1">
      <alignment horizontal="center" vertical="top"/>
    </xf>
    <xf numFmtId="169" fontId="3" fillId="0" borderId="0" xfId="12" applyNumberFormat="1" applyAlignment="1">
      <alignment horizontal="center" vertical="top"/>
    </xf>
    <xf numFmtId="10" fontId="3" fillId="0" borderId="0" xfId="12" applyNumberFormat="1" applyAlignment="1">
      <alignment horizontal="center" vertical="top"/>
    </xf>
    <xf numFmtId="175" fontId="3" fillId="0" borderId="0" xfId="12" applyNumberFormat="1" applyAlignment="1">
      <alignment horizontal="center"/>
    </xf>
    <xf numFmtId="0" fontId="11" fillId="7" borderId="95" xfId="12" applyFont="1" applyFill="1" applyBorder="1" applyAlignment="1">
      <alignment horizontal="center" vertical="top"/>
    </xf>
    <xf numFmtId="0" fontId="11" fillId="7" borderId="22" xfId="12" applyFont="1" applyFill="1" applyBorder="1">
      <alignment vertical="top"/>
    </xf>
    <xf numFmtId="175" fontId="11" fillId="7" borderId="22" xfId="12" applyNumberFormat="1" applyFont="1" applyFill="1" applyBorder="1">
      <alignment vertical="top"/>
    </xf>
    <xf numFmtId="10" fontId="11" fillId="7" borderId="22" xfId="12" applyNumberFormat="1" applyFont="1" applyFill="1" applyBorder="1">
      <alignment vertical="top"/>
    </xf>
    <xf numFmtId="175" fontId="11" fillId="7" borderId="23" xfId="12" applyNumberFormat="1" applyFont="1" applyFill="1" applyBorder="1">
      <alignment vertical="top"/>
    </xf>
    <xf numFmtId="169" fontId="3" fillId="7" borderId="24" xfId="12" applyNumberFormat="1" applyFont="1" applyFill="1" applyBorder="1" applyAlignment="1">
      <alignment horizontal="center" vertical="top"/>
    </xf>
    <xf numFmtId="10" fontId="3" fillId="7" borderId="25" xfId="12" applyNumberFormat="1" applyFont="1" applyFill="1" applyBorder="1" applyAlignment="1">
      <alignment horizontal="center" vertical="top"/>
    </xf>
    <xf numFmtId="10" fontId="3" fillId="0" borderId="0" xfId="12" applyNumberFormat="1">
      <alignment vertical="top"/>
    </xf>
    <xf numFmtId="0" fontId="11" fillId="0" borderId="93" xfId="12" applyFont="1" applyBorder="1" applyAlignment="1">
      <alignment horizontal="center" vertical="top"/>
    </xf>
    <xf numFmtId="0" fontId="11" fillId="0" borderId="3" xfId="12" applyFont="1" applyBorder="1">
      <alignment vertical="top"/>
    </xf>
    <xf numFmtId="175" fontId="11" fillId="3" borderId="3" xfId="12" applyNumberFormat="1" applyFont="1" applyFill="1" applyBorder="1">
      <alignment vertical="top"/>
    </xf>
    <xf numFmtId="10" fontId="11" fillId="0" borderId="3" xfId="12" applyNumberFormat="1" applyFont="1" applyBorder="1">
      <alignment vertical="top"/>
    </xf>
    <xf numFmtId="175" fontId="11" fillId="0" borderId="26" xfId="12" applyNumberFormat="1" applyFont="1" applyBorder="1">
      <alignment vertical="top"/>
    </xf>
    <xf numFmtId="175" fontId="11" fillId="4" borderId="3" xfId="12" applyNumberFormat="1" applyFont="1" applyFill="1" applyBorder="1">
      <alignment vertical="top"/>
    </xf>
    <xf numFmtId="169" fontId="3" fillId="0" borderId="26" xfId="12" applyNumberFormat="1" applyFont="1" applyBorder="1" applyAlignment="1">
      <alignment horizontal="center" vertical="top"/>
    </xf>
    <xf numFmtId="10" fontId="3" fillId="0" borderId="27" xfId="12" applyNumberFormat="1" applyFont="1" applyBorder="1" applyAlignment="1">
      <alignment horizontal="center" vertical="top"/>
    </xf>
    <xf numFmtId="0" fontId="11" fillId="7" borderId="93" xfId="12" applyFont="1" applyFill="1" applyBorder="1" applyAlignment="1">
      <alignment horizontal="center" vertical="top"/>
    </xf>
    <xf numFmtId="0" fontId="11" fillId="7" borderId="3" xfId="12" applyFont="1" applyFill="1" applyBorder="1">
      <alignment vertical="top"/>
    </xf>
    <xf numFmtId="175" fontId="11" fillId="7" borderId="3" xfId="12" applyNumberFormat="1" applyFont="1" applyFill="1" applyBorder="1">
      <alignment vertical="top"/>
    </xf>
    <xf numFmtId="10" fontId="11" fillId="7" borderId="3" xfId="12" applyNumberFormat="1" applyFont="1" applyFill="1" applyBorder="1">
      <alignment vertical="top"/>
    </xf>
    <xf numFmtId="169" fontId="3" fillId="7" borderId="26" xfId="12" applyNumberFormat="1" applyFont="1" applyFill="1" applyBorder="1" applyAlignment="1">
      <alignment horizontal="center" vertical="top"/>
    </xf>
    <xf numFmtId="10" fontId="3" fillId="7" borderId="27" xfId="12" applyNumberFormat="1" applyFont="1" applyFill="1" applyBorder="1" applyAlignment="1">
      <alignment horizontal="center" vertical="top"/>
    </xf>
    <xf numFmtId="175" fontId="11" fillId="4" borderId="28" xfId="12" applyNumberFormat="1" applyFont="1" applyFill="1" applyBorder="1">
      <alignment vertical="top"/>
    </xf>
    <xf numFmtId="0" fontId="3" fillId="0" borderId="29" xfId="12" applyBorder="1">
      <alignment vertical="top"/>
    </xf>
    <xf numFmtId="0" fontId="3" fillId="0" borderId="30" xfId="12" applyBorder="1" applyAlignment="1">
      <alignment horizontal="center"/>
    </xf>
    <xf numFmtId="0" fontId="3" fillId="0" borderId="30" xfId="12" applyBorder="1">
      <alignment vertical="top"/>
    </xf>
    <xf numFmtId="175" fontId="3" fillId="0" borderId="31" xfId="12" applyNumberFormat="1" applyBorder="1" applyAlignment="1">
      <alignment horizontal="center"/>
    </xf>
    <xf numFmtId="0" fontId="11" fillId="0" borderId="26" xfId="12" applyFont="1" applyBorder="1">
      <alignment vertical="top"/>
    </xf>
    <xf numFmtId="169" fontId="3" fillId="0" borderId="26" xfId="12" applyNumberFormat="1" applyBorder="1" applyAlignment="1">
      <alignment horizontal="center" vertical="top"/>
    </xf>
    <xf numFmtId="10" fontId="3" fillId="0" borderId="27" xfId="12" applyNumberFormat="1" applyBorder="1" applyAlignment="1">
      <alignment horizontal="center" vertical="top"/>
    </xf>
    <xf numFmtId="0" fontId="3" fillId="0" borderId="32" xfId="12" applyBorder="1">
      <alignment vertical="top"/>
    </xf>
    <xf numFmtId="0" fontId="3" fillId="0" borderId="3" xfId="12" applyBorder="1">
      <alignment vertical="top"/>
    </xf>
    <xf numFmtId="175" fontId="3" fillId="0" borderId="33" xfId="12" applyNumberFormat="1" applyBorder="1" applyAlignment="1">
      <alignment horizontal="center"/>
    </xf>
    <xf numFmtId="0" fontId="11" fillId="0" borderId="106" xfId="12" applyFont="1" applyBorder="1" applyAlignment="1">
      <alignment horizontal="center" vertical="top"/>
    </xf>
    <xf numFmtId="0" fontId="11" fillId="0" borderId="34" xfId="12" applyFont="1" applyBorder="1">
      <alignment vertical="top"/>
    </xf>
    <xf numFmtId="175" fontId="11" fillId="3" borderId="34" xfId="12" applyNumberFormat="1" applyFont="1" applyFill="1" applyBorder="1">
      <alignment vertical="top"/>
    </xf>
    <xf numFmtId="10" fontId="11" fillId="0" borderId="34" xfId="12" applyNumberFormat="1" applyFont="1" applyBorder="1">
      <alignment vertical="top"/>
    </xf>
    <xf numFmtId="175" fontId="11" fillId="0" borderId="35" xfId="12" applyNumberFormat="1" applyFont="1" applyBorder="1">
      <alignment vertical="top"/>
    </xf>
    <xf numFmtId="0" fontId="3" fillId="0" borderId="36" xfId="12" applyBorder="1">
      <alignment vertical="top"/>
    </xf>
    <xf numFmtId="0" fontId="3" fillId="0" borderId="37" xfId="12" applyBorder="1" applyAlignment="1">
      <alignment horizontal="center"/>
    </xf>
    <xf numFmtId="0" fontId="3" fillId="0" borderId="37" xfId="12" applyBorder="1">
      <alignment vertical="top"/>
    </xf>
    <xf numFmtId="175" fontId="3" fillId="0" borderId="38" xfId="12" applyNumberFormat="1" applyBorder="1" applyAlignment="1">
      <alignment horizontal="center"/>
    </xf>
    <xf numFmtId="0" fontId="11" fillId="0" borderId="94" xfId="12" applyFont="1" applyBorder="1" applyAlignment="1">
      <alignment horizontal="center" vertical="top"/>
    </xf>
    <xf numFmtId="0" fontId="11" fillId="0" borderId="39" xfId="12" applyFont="1" applyBorder="1">
      <alignment vertical="top"/>
    </xf>
    <xf numFmtId="175" fontId="11" fillId="3" borderId="39" xfId="12" applyNumberFormat="1" applyFont="1" applyFill="1" applyBorder="1">
      <alignment vertical="top"/>
    </xf>
    <xf numFmtId="10" fontId="11" fillId="0" borderId="39" xfId="12" applyNumberFormat="1" applyFont="1" applyBorder="1">
      <alignment vertical="top"/>
    </xf>
    <xf numFmtId="175" fontId="11" fillId="0" borderId="40" xfId="12" applyNumberFormat="1" applyFont="1" applyBorder="1">
      <alignment vertical="top"/>
    </xf>
    <xf numFmtId="169" fontId="3" fillId="0" borderId="40" xfId="12" applyNumberFormat="1" applyBorder="1" applyAlignment="1">
      <alignment horizontal="center" vertical="top"/>
    </xf>
    <xf numFmtId="10" fontId="3" fillId="0" borderId="41" xfId="12" applyNumberFormat="1" applyBorder="1" applyAlignment="1">
      <alignment horizontal="center" vertical="top"/>
    </xf>
    <xf numFmtId="0" fontId="3" fillId="0" borderId="0" xfId="12" applyBorder="1">
      <alignment vertical="top"/>
    </xf>
    <xf numFmtId="0" fontId="3" fillId="0" borderId="0" xfId="12" applyBorder="1" applyAlignment="1">
      <alignment horizontal="center"/>
    </xf>
    <xf numFmtId="175" fontId="3" fillId="0" borderId="0" xfId="12" applyNumberFormat="1" applyBorder="1" applyAlignment="1">
      <alignment horizontal="center"/>
    </xf>
    <xf numFmtId="0" fontId="11" fillId="0" borderId="0" xfId="12" applyFont="1" applyBorder="1">
      <alignment vertical="top"/>
    </xf>
    <xf numFmtId="175" fontId="11" fillId="4" borderId="0" xfId="12" applyNumberFormat="1" applyFont="1" applyFill="1" applyBorder="1">
      <alignment vertical="top"/>
    </xf>
    <xf numFmtId="10" fontId="11" fillId="0" borderId="0" xfId="12" applyNumberFormat="1" applyFont="1" applyBorder="1">
      <alignment vertical="top"/>
    </xf>
    <xf numFmtId="175" fontId="11" fillId="0" borderId="0" xfId="12" applyNumberFormat="1" applyFont="1" applyBorder="1">
      <alignment vertical="top"/>
    </xf>
    <xf numFmtId="169" fontId="3" fillId="0" borderId="0" xfId="12" applyNumberFormat="1" applyBorder="1" applyAlignment="1">
      <alignment horizontal="center" vertical="top"/>
    </xf>
    <xf numFmtId="10" fontId="3" fillId="0" borderId="0" xfId="12" applyNumberFormat="1" applyBorder="1" applyAlignment="1">
      <alignment horizontal="center" vertical="top"/>
    </xf>
    <xf numFmtId="0" fontId="11" fillId="0" borderId="0" xfId="12" applyFont="1" applyAlignment="1">
      <alignment horizontal="center" vertical="top"/>
    </xf>
    <xf numFmtId="0" fontId="11" fillId="0" borderId="0" xfId="12" applyFont="1">
      <alignment vertical="top"/>
    </xf>
    <xf numFmtId="175" fontId="11" fillId="0" borderId="0" xfId="12" applyNumberFormat="1" applyFont="1">
      <alignment vertical="top"/>
    </xf>
    <xf numFmtId="2" fontId="11" fillId="0" borderId="0" xfId="12" applyNumberFormat="1" applyFont="1" applyAlignment="1">
      <alignment horizontal="left"/>
    </xf>
    <xf numFmtId="169" fontId="3" fillId="0" borderId="0" xfId="12" applyNumberFormat="1" applyFont="1" applyAlignment="1">
      <alignment horizontal="center"/>
    </xf>
    <xf numFmtId="10" fontId="3" fillId="0" borderId="0" xfId="12" applyNumberFormat="1" applyFont="1" applyAlignment="1">
      <alignment horizontal="center"/>
    </xf>
    <xf numFmtId="175" fontId="4" fillId="0" borderId="42" xfId="12" applyNumberFormat="1" applyFont="1" applyBorder="1" applyAlignment="1" applyProtection="1">
      <alignment horizontal="center"/>
    </xf>
    <xf numFmtId="4" fontId="11" fillId="0" borderId="25" xfId="12" applyNumberFormat="1" applyFont="1" applyBorder="1" applyAlignment="1" applyProtection="1">
      <alignment horizontal="center"/>
    </xf>
    <xf numFmtId="4" fontId="11" fillId="0" borderId="27" xfId="12" applyNumberFormat="1" applyFont="1" applyBorder="1" applyAlignment="1" applyProtection="1">
      <alignment horizontal="center"/>
    </xf>
    <xf numFmtId="0" fontId="11" fillId="0" borderId="0" xfId="12" applyFont="1" applyAlignment="1"/>
    <xf numFmtId="169" fontId="3" fillId="0" borderId="0" xfId="12" applyNumberFormat="1" applyAlignment="1">
      <alignment horizontal="center"/>
    </xf>
    <xf numFmtId="10" fontId="3" fillId="0" borderId="0" xfId="12" applyNumberFormat="1" applyAlignment="1">
      <alignment horizontal="center"/>
    </xf>
    <xf numFmtId="4" fontId="11" fillId="0" borderId="41" xfId="12" applyNumberFormat="1" applyFont="1" applyBorder="1" applyAlignment="1" applyProtection="1">
      <alignment horizontal="center"/>
    </xf>
    <xf numFmtId="10" fontId="11" fillId="0" borderId="27" xfId="12" applyNumberFormat="1" applyFont="1" applyBorder="1" applyAlignment="1">
      <alignment horizontal="center"/>
    </xf>
    <xf numFmtId="10" fontId="11" fillId="0" borderId="41" xfId="12" applyNumberFormat="1" applyFont="1" applyBorder="1" applyAlignment="1">
      <alignment horizontal="center"/>
    </xf>
    <xf numFmtId="10" fontId="11" fillId="0" borderId="0" xfId="12" applyNumberFormat="1" applyFont="1" applyBorder="1" applyAlignment="1">
      <alignment horizontal="center"/>
    </xf>
    <xf numFmtId="0" fontId="5" fillId="4" borderId="0" xfId="12" applyFont="1" applyFill="1" applyBorder="1" applyAlignment="1">
      <alignment horizontal="center" vertical="top"/>
    </xf>
    <xf numFmtId="169" fontId="3" fillId="4" borderId="0" xfId="12" applyNumberFormat="1" applyFill="1" applyAlignment="1">
      <alignment horizontal="center" vertical="top"/>
    </xf>
    <xf numFmtId="10" fontId="3" fillId="4" borderId="0" xfId="12" applyNumberFormat="1" applyFill="1" applyAlignment="1">
      <alignment horizontal="center" vertical="top"/>
    </xf>
    <xf numFmtId="175" fontId="3" fillId="0" borderId="27" xfId="12" applyNumberFormat="1" applyBorder="1" applyAlignment="1">
      <alignment horizontal="center"/>
    </xf>
    <xf numFmtId="175" fontId="3" fillId="4" borderId="0" xfId="12" applyNumberFormat="1" applyFill="1" applyBorder="1" applyAlignment="1">
      <alignment horizontal="center"/>
    </xf>
    <xf numFmtId="0" fontId="3" fillId="0" borderId="39" xfId="12" applyBorder="1">
      <alignment vertical="top"/>
    </xf>
    <xf numFmtId="175" fontId="3" fillId="0" borderId="41" xfId="12" applyNumberFormat="1" applyBorder="1" applyAlignment="1">
      <alignment horizontal="center"/>
    </xf>
    <xf numFmtId="0" fontId="8" fillId="0" borderId="3" xfId="12" applyFont="1" applyBorder="1">
      <alignment vertical="top"/>
    </xf>
    <xf numFmtId="0" fontId="8" fillId="0" borderId="3" xfId="12" applyFont="1" applyBorder="1" applyAlignment="1">
      <alignment horizontal="center"/>
    </xf>
    <xf numFmtId="0" fontId="3" fillId="0" borderId="3" xfId="12" applyFont="1" applyBorder="1" applyAlignment="1">
      <alignment horizontal="center"/>
    </xf>
    <xf numFmtId="175" fontId="3" fillId="0" borderId="3" xfId="13" applyNumberFormat="1" applyFont="1" applyBorder="1" applyAlignment="1">
      <alignment horizontal="center"/>
    </xf>
    <xf numFmtId="176" fontId="3" fillId="0" borderId="43" xfId="13" applyNumberFormat="1" applyFont="1" applyBorder="1" applyAlignment="1">
      <alignment horizontal="center"/>
    </xf>
    <xf numFmtId="175" fontId="3" fillId="0" borderId="3" xfId="12" applyNumberFormat="1" applyFont="1" applyBorder="1" applyAlignment="1">
      <alignment horizontal="center"/>
    </xf>
    <xf numFmtId="175" fontId="3" fillId="0" borderId="3" xfId="12" applyNumberFormat="1" applyBorder="1" applyAlignment="1">
      <alignment horizontal="center"/>
    </xf>
    <xf numFmtId="0" fontId="3" fillId="0" borderId="0" xfId="12" applyFont="1" applyBorder="1" applyAlignment="1">
      <alignment horizontal="center"/>
    </xf>
    <xf numFmtId="175" fontId="3" fillId="0" borderId="0" xfId="13" applyNumberFormat="1" applyFont="1" applyBorder="1" applyAlignment="1">
      <alignment horizontal="center"/>
    </xf>
    <xf numFmtId="177" fontId="8" fillId="0" borderId="0" xfId="12" applyNumberFormat="1" applyFont="1" applyAlignment="1">
      <alignment horizontal="center"/>
    </xf>
    <xf numFmtId="0" fontId="8" fillId="0" borderId="0" xfId="12" applyFont="1">
      <alignment vertical="top"/>
    </xf>
    <xf numFmtId="0" fontId="8" fillId="0" borderId="0" xfId="12" applyFont="1" applyAlignment="1">
      <alignment horizontal="center"/>
    </xf>
    <xf numFmtId="176" fontId="8" fillId="0" borderId="0" xfId="13" applyNumberFormat="1" applyFont="1"/>
    <xf numFmtId="176" fontId="8" fillId="0" borderId="0" xfId="13" applyNumberFormat="1" applyFont="1" applyAlignment="1">
      <alignment horizontal="center"/>
    </xf>
    <xf numFmtId="0" fontId="18" fillId="0" borderId="34" xfId="12" applyFont="1" applyBorder="1" applyAlignment="1">
      <alignment horizontal="center"/>
    </xf>
    <xf numFmtId="0" fontId="18" fillId="0" borderId="35" xfId="12" applyFont="1" applyBorder="1" applyAlignment="1">
      <alignment horizontal="center"/>
    </xf>
    <xf numFmtId="0" fontId="3" fillId="0" borderId="44" xfId="12" applyBorder="1" applyAlignment="1">
      <alignment horizontal="center"/>
    </xf>
    <xf numFmtId="0" fontId="3" fillId="0" borderId="18" xfId="12" applyBorder="1" applyAlignment="1">
      <alignment horizontal="center"/>
    </xf>
    <xf numFmtId="0" fontId="3" fillId="0" borderId="45" xfId="12" applyBorder="1" applyAlignment="1">
      <alignment horizontal="center"/>
    </xf>
    <xf numFmtId="49" fontId="0" fillId="0" borderId="39" xfId="13" applyNumberFormat="1" applyFont="1" applyBorder="1" applyAlignment="1">
      <alignment horizontal="center"/>
    </xf>
    <xf numFmtId="176" fontId="0" fillId="0" borderId="34" xfId="13" applyNumberFormat="1" applyFont="1" applyBorder="1" applyAlignment="1">
      <alignment horizontal="center"/>
    </xf>
    <xf numFmtId="176" fontId="0" fillId="0" borderId="1" xfId="13" applyNumberFormat="1" applyFont="1" applyBorder="1" applyAlignment="1">
      <alignment horizontal="center"/>
    </xf>
    <xf numFmtId="0" fontId="3" fillId="0" borderId="1" xfId="12" applyBorder="1" applyAlignment="1">
      <alignment horizontal="center"/>
    </xf>
    <xf numFmtId="177" fontId="3" fillId="0" borderId="34" xfId="12" applyNumberFormat="1" applyBorder="1" applyAlignment="1">
      <alignment horizontal="center"/>
    </xf>
    <xf numFmtId="0" fontId="3" fillId="0" borderId="46" xfId="12" applyBorder="1">
      <alignment vertical="top"/>
    </xf>
    <xf numFmtId="0" fontId="3" fillId="0" borderId="47" xfId="12" applyBorder="1" applyAlignment="1">
      <alignment horizontal="center"/>
    </xf>
    <xf numFmtId="0" fontId="3" fillId="0" borderId="44" xfId="12" applyBorder="1">
      <alignment vertical="top"/>
    </xf>
    <xf numFmtId="175" fontId="0" fillId="0" borderId="47" xfId="13" applyNumberFormat="1" applyFont="1" applyBorder="1" applyAlignment="1">
      <alignment horizontal="center"/>
    </xf>
    <xf numFmtId="175" fontId="3" fillId="0" borderId="47" xfId="12" applyNumberFormat="1" applyBorder="1" applyAlignment="1">
      <alignment horizontal="center"/>
    </xf>
    <xf numFmtId="0" fontId="3" fillId="0" borderId="23" xfId="12" applyBorder="1" applyAlignment="1">
      <alignment horizontal="center"/>
    </xf>
    <xf numFmtId="0" fontId="3" fillId="0" borderId="48" xfId="12" applyBorder="1" applyAlignment="1">
      <alignment horizontal="center"/>
    </xf>
    <xf numFmtId="0" fontId="3" fillId="0" borderId="49" xfId="12" applyFont="1" applyBorder="1">
      <alignment vertical="top"/>
    </xf>
    <xf numFmtId="0" fontId="3" fillId="0" borderId="44" xfId="12" applyFont="1" applyBorder="1" applyAlignment="1">
      <alignment horizontal="center"/>
    </xf>
    <xf numFmtId="0" fontId="3" fillId="0" borderId="44" xfId="12" applyFont="1" applyBorder="1">
      <alignment vertical="top"/>
    </xf>
    <xf numFmtId="175" fontId="3" fillId="0" borderId="44" xfId="12" applyNumberFormat="1" applyBorder="1" applyAlignment="1">
      <alignment horizontal="center"/>
    </xf>
    <xf numFmtId="0" fontId="3" fillId="0" borderId="19" xfId="12" applyBorder="1" applyAlignment="1">
      <alignment horizontal="center"/>
    </xf>
    <xf numFmtId="0" fontId="3" fillId="0" borderId="49" xfId="12" applyBorder="1">
      <alignment vertical="top"/>
    </xf>
    <xf numFmtId="175" fontId="0" fillId="0" borderId="44" xfId="13" applyNumberFormat="1" applyFont="1" applyBorder="1" applyAlignment="1">
      <alignment horizontal="center"/>
    </xf>
    <xf numFmtId="176" fontId="0" fillId="0" borderId="44" xfId="13" applyNumberFormat="1" applyFont="1" applyBorder="1" applyAlignment="1">
      <alignment horizontal="center"/>
    </xf>
    <xf numFmtId="176" fontId="0" fillId="0" borderId="18" xfId="13" applyNumberFormat="1" applyFont="1" applyBorder="1" applyAlignment="1">
      <alignment horizontal="center"/>
    </xf>
    <xf numFmtId="176" fontId="0" fillId="0" borderId="19" xfId="13" applyNumberFormat="1" applyFont="1" applyBorder="1" applyAlignment="1">
      <alignment horizontal="center"/>
    </xf>
    <xf numFmtId="176" fontId="0" fillId="0" borderId="3" xfId="13" applyNumberFormat="1" applyFont="1" applyBorder="1" applyAlignment="1">
      <alignment horizontal="center"/>
    </xf>
    <xf numFmtId="177" fontId="3" fillId="0" borderId="3" xfId="12" applyNumberFormat="1" applyBorder="1" applyAlignment="1">
      <alignment horizontal="center"/>
    </xf>
    <xf numFmtId="177" fontId="3" fillId="0" borderId="26" xfId="12" applyNumberFormat="1" applyBorder="1" applyAlignment="1">
      <alignment horizontal="center"/>
    </xf>
    <xf numFmtId="175" fontId="3" fillId="0" borderId="44" xfId="13" applyNumberFormat="1" applyFont="1" applyBorder="1" applyAlignment="1">
      <alignment horizontal="center"/>
    </xf>
    <xf numFmtId="10" fontId="3" fillId="0" borderId="44" xfId="13" applyNumberFormat="1" applyFont="1" applyBorder="1" applyAlignment="1">
      <alignment horizontal="center"/>
    </xf>
    <xf numFmtId="10" fontId="3" fillId="0" borderId="18" xfId="13" applyNumberFormat="1" applyFont="1" applyBorder="1" applyAlignment="1">
      <alignment horizontal="center"/>
    </xf>
    <xf numFmtId="10" fontId="3" fillId="0" borderId="19" xfId="13" applyNumberFormat="1" applyFont="1" applyBorder="1" applyAlignment="1">
      <alignment horizontal="center"/>
    </xf>
    <xf numFmtId="0" fontId="8" fillId="0" borderId="49" xfId="12" applyFont="1" applyBorder="1">
      <alignment vertical="top"/>
    </xf>
    <xf numFmtId="0" fontId="8" fillId="0" borderId="44" xfId="12" applyFont="1" applyBorder="1" applyAlignment="1">
      <alignment horizontal="center"/>
    </xf>
    <xf numFmtId="0" fontId="8" fillId="0" borderId="44" xfId="12" applyFont="1" applyBorder="1">
      <alignment vertical="top"/>
    </xf>
    <xf numFmtId="10" fontId="0" fillId="0" borderId="44" xfId="13" applyNumberFormat="1" applyFont="1" applyBorder="1" applyAlignment="1">
      <alignment horizontal="center"/>
    </xf>
    <xf numFmtId="10" fontId="0" fillId="0" borderId="18" xfId="13" applyNumberFormat="1" applyFont="1" applyBorder="1" applyAlignment="1">
      <alignment horizontal="center"/>
    </xf>
    <xf numFmtId="10" fontId="0" fillId="0" borderId="19" xfId="13" applyNumberFormat="1" applyFont="1" applyBorder="1" applyAlignment="1">
      <alignment horizontal="center"/>
    </xf>
    <xf numFmtId="10" fontId="3" fillId="0" borderId="44" xfId="12" applyNumberFormat="1" applyBorder="1">
      <alignment vertical="top"/>
    </xf>
    <xf numFmtId="0" fontId="3" fillId="0" borderId="44" xfId="12" applyBorder="1" applyAlignment="1">
      <alignment horizontal="center" vertical="top"/>
    </xf>
    <xf numFmtId="13" fontId="3" fillId="0" borderId="44" xfId="12" applyNumberFormat="1" applyBorder="1">
      <alignment vertical="top"/>
    </xf>
    <xf numFmtId="0" fontId="8" fillId="0" borderId="50" xfId="12" applyFont="1" applyBorder="1">
      <alignment vertical="top"/>
    </xf>
    <xf numFmtId="0" fontId="8" fillId="0" borderId="45" xfId="12" applyFont="1" applyBorder="1" applyAlignment="1">
      <alignment horizontal="center"/>
    </xf>
    <xf numFmtId="0" fontId="8" fillId="0" borderId="45" xfId="12" applyFont="1" applyBorder="1">
      <alignment vertical="top"/>
    </xf>
    <xf numFmtId="175" fontId="8" fillId="0" borderId="45" xfId="13" applyNumberFormat="1" applyFont="1" applyBorder="1" applyAlignment="1">
      <alignment horizontal="center"/>
    </xf>
    <xf numFmtId="10" fontId="8" fillId="0" borderId="45" xfId="13" applyNumberFormat="1" applyFont="1" applyBorder="1" applyAlignment="1">
      <alignment horizontal="center"/>
    </xf>
    <xf numFmtId="10" fontId="8" fillId="0" borderId="20" xfId="13" applyNumberFormat="1" applyFont="1" applyBorder="1" applyAlignment="1">
      <alignment horizontal="center"/>
    </xf>
    <xf numFmtId="10" fontId="8" fillId="0" borderId="21" xfId="13" applyNumberFormat="1" applyFont="1" applyBorder="1" applyAlignment="1">
      <alignment horizontal="center"/>
    </xf>
    <xf numFmtId="1" fontId="0" fillId="0" borderId="0" xfId="13" applyNumberFormat="1" applyFont="1" applyAlignment="1">
      <alignment horizontal="center"/>
    </xf>
    <xf numFmtId="176" fontId="0" fillId="0" borderId="0" xfId="13" applyNumberFormat="1" applyFont="1" applyAlignment="1">
      <alignment horizontal="center"/>
    </xf>
    <xf numFmtId="3" fontId="0" fillId="0" borderId="0" xfId="13" applyNumberFormat="1" applyFont="1" applyAlignment="1">
      <alignment horizontal="center"/>
    </xf>
    <xf numFmtId="176" fontId="0" fillId="0" borderId="0" xfId="13" applyNumberFormat="1" applyFont="1"/>
    <xf numFmtId="177" fontId="3" fillId="0" borderId="0" xfId="12" applyNumberFormat="1" applyAlignment="1">
      <alignment horizontal="center"/>
    </xf>
    <xf numFmtId="175" fontId="3" fillId="0" borderId="0" xfId="12" applyNumberFormat="1">
      <alignment vertical="top"/>
    </xf>
    <xf numFmtId="3" fontId="8" fillId="0" borderId="3" xfId="13" applyNumberFormat="1" applyFont="1" applyBorder="1" applyAlignment="1">
      <alignment horizontal="center"/>
    </xf>
    <xf numFmtId="176" fontId="8" fillId="0" borderId="44" xfId="13" applyNumberFormat="1" applyFont="1" applyBorder="1" applyAlignment="1">
      <alignment horizontal="center"/>
    </xf>
    <xf numFmtId="175" fontId="8" fillId="0" borderId="3" xfId="13" applyNumberFormat="1" applyFont="1" applyBorder="1" applyAlignment="1">
      <alignment horizontal="center"/>
    </xf>
    <xf numFmtId="178" fontId="8" fillId="0" borderId="3" xfId="13" applyNumberFormat="1" applyFont="1" applyBorder="1" applyAlignment="1">
      <alignment horizontal="center"/>
    </xf>
    <xf numFmtId="178" fontId="3" fillId="0" borderId="0" xfId="12" applyNumberFormat="1" applyAlignment="1">
      <alignment horizontal="center"/>
    </xf>
    <xf numFmtId="178" fontId="3" fillId="0" borderId="0" xfId="12" applyNumberFormat="1">
      <alignment vertical="top"/>
    </xf>
    <xf numFmtId="0" fontId="8" fillId="9" borderId="20" xfId="12" applyFont="1" applyFill="1" applyBorder="1" applyAlignment="1">
      <alignment horizontal="center" vertical="center" wrapText="1"/>
    </xf>
    <xf numFmtId="169" fontId="8" fillId="9" borderId="20" xfId="12" applyNumberFormat="1" applyFont="1" applyFill="1" applyBorder="1" applyAlignment="1">
      <alignment horizontal="center" vertical="top"/>
    </xf>
    <xf numFmtId="10" fontId="8" fillId="9" borderId="21" xfId="12" applyNumberFormat="1" applyFont="1" applyFill="1" applyBorder="1" applyAlignment="1">
      <alignment horizontal="center" vertical="top"/>
    </xf>
    <xf numFmtId="174" fontId="13" fillId="0" borderId="7" xfId="5" applyNumberFormat="1" applyFont="1" applyBorder="1" applyAlignment="1">
      <alignment horizontal="center"/>
    </xf>
    <xf numFmtId="166" fontId="31" fillId="5" borderId="3" xfId="0" applyNumberFormat="1" applyFont="1" applyFill="1" applyBorder="1" applyAlignment="1">
      <alignment horizontal="center" vertical="center" wrapText="1"/>
    </xf>
    <xf numFmtId="169" fontId="8" fillId="9" borderId="18" xfId="12" applyNumberFormat="1" applyFont="1" applyFill="1" applyBorder="1" applyAlignment="1">
      <alignment horizontal="center" vertical="top"/>
    </xf>
    <xf numFmtId="10" fontId="8" fillId="9" borderId="19" xfId="12" applyNumberFormat="1" applyFont="1" applyFill="1" applyBorder="1" applyAlignment="1">
      <alignment horizontal="center" vertical="top"/>
    </xf>
    <xf numFmtId="0" fontId="33" fillId="0" borderId="3" xfId="0" applyFont="1" applyFill="1" applyBorder="1" applyAlignment="1">
      <alignment horizontal="justify" vertical="center" wrapText="1"/>
    </xf>
    <xf numFmtId="0" fontId="30" fillId="4" borderId="59" xfId="0" applyFont="1" applyFill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 wrapText="1"/>
    </xf>
    <xf numFmtId="2" fontId="30" fillId="4" borderId="60" xfId="0" applyNumberFormat="1" applyFont="1" applyFill="1" applyBorder="1" applyAlignment="1">
      <alignment horizontal="center" vertical="center" wrapText="1"/>
    </xf>
    <xf numFmtId="0" fontId="27" fillId="0" borderId="60" xfId="0" applyFont="1" applyBorder="1"/>
    <xf numFmtId="0" fontId="30" fillId="4" borderId="64" xfId="0" applyFont="1" applyFill="1" applyBorder="1" applyAlignment="1">
      <alignment horizontal="center" vertical="center" wrapText="1"/>
    </xf>
    <xf numFmtId="170" fontId="34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NumberFormat="1" applyFont="1" applyAlignment="1">
      <alignment horizontal="center" vertical="center" wrapText="1"/>
    </xf>
    <xf numFmtId="166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166" fontId="46" fillId="0" borderId="0" xfId="0" applyNumberFormat="1" applyFont="1" applyAlignment="1">
      <alignment vertical="center" wrapText="1"/>
    </xf>
    <xf numFmtId="0" fontId="33" fillId="0" borderId="3" xfId="0" applyFont="1" applyBorder="1" applyAlignment="1">
      <alignment horizontal="justify" vertical="top"/>
    </xf>
    <xf numFmtId="0" fontId="47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166" fontId="31" fillId="5" borderId="3" xfId="0" applyNumberFormat="1" applyFont="1" applyFill="1" applyBorder="1" applyAlignment="1">
      <alignment horizontal="center" vertical="center" wrapText="1"/>
    </xf>
    <xf numFmtId="166" fontId="32" fillId="0" borderId="44" xfId="0" applyNumberFormat="1" applyFont="1" applyBorder="1" applyAlignment="1">
      <alignment horizontal="center" vertical="center"/>
    </xf>
    <xf numFmtId="0" fontId="0" fillId="0" borderId="3" xfId="0" applyBorder="1"/>
    <xf numFmtId="166" fontId="31" fillId="10" borderId="3" xfId="0" applyNumberFormat="1" applyFont="1" applyFill="1" applyBorder="1" applyAlignment="1">
      <alignment horizontal="center" vertical="center" wrapText="1"/>
    </xf>
    <xf numFmtId="166" fontId="31" fillId="10" borderId="3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66" fontId="31" fillId="7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166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166" fontId="30" fillId="1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72" fontId="12" fillId="7" borderId="51" xfId="1" applyNumberFormat="1" applyFont="1" applyFill="1" applyBorder="1" applyAlignment="1" applyProtection="1">
      <alignment horizontal="center"/>
    </xf>
    <xf numFmtId="166" fontId="31" fillId="16" borderId="3" xfId="0" applyNumberFormat="1" applyFont="1" applyFill="1" applyBorder="1" applyAlignment="1">
      <alignment horizontal="center" vertical="center"/>
    </xf>
    <xf numFmtId="166" fontId="4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9" fillId="0" borderId="0" xfId="0" applyNumberFormat="1" applyFont="1" applyAlignment="1">
      <alignment horizontal="center" vertical="center" wrapText="1"/>
    </xf>
    <xf numFmtId="166" fontId="29" fillId="0" borderId="0" xfId="0" applyNumberFormat="1" applyFont="1" applyFill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2" fillId="0" borderId="3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6" fontId="36" fillId="10" borderId="3" xfId="5" applyNumberFormat="1" applyFont="1" applyFill="1" applyBorder="1" applyAlignment="1">
      <alignment horizontal="center" vertical="center"/>
    </xf>
    <xf numFmtId="166" fontId="27" fillId="0" borderId="0" xfId="5" applyNumberFormat="1" applyFont="1" applyAlignment="1">
      <alignment vertical="center"/>
    </xf>
    <xf numFmtId="0" fontId="27" fillId="0" borderId="0" xfId="5" applyFont="1" applyAlignment="1">
      <alignment vertical="center"/>
    </xf>
    <xf numFmtId="0" fontId="31" fillId="5" borderId="3" xfId="5" applyFont="1" applyFill="1" applyBorder="1" applyAlignment="1">
      <alignment horizontal="center" vertical="center" wrapText="1"/>
    </xf>
    <xf numFmtId="0" fontId="31" fillId="5" borderId="3" xfId="5" applyNumberFormat="1" applyFont="1" applyFill="1" applyBorder="1" applyAlignment="1">
      <alignment horizontal="center" vertical="center"/>
    </xf>
    <xf numFmtId="166" fontId="31" fillId="5" borderId="3" xfId="5" applyNumberFormat="1" applyFont="1" applyFill="1" applyBorder="1" applyAlignment="1">
      <alignment horizontal="center" vertical="center" wrapText="1"/>
    </xf>
    <xf numFmtId="167" fontId="31" fillId="5" borderId="3" xfId="5" applyNumberFormat="1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3" xfId="0" applyNumberFormat="1" applyFont="1" applyFill="1" applyBorder="1" applyAlignment="1">
      <alignment horizontal="center" vertical="center"/>
    </xf>
    <xf numFmtId="166" fontId="31" fillId="5" borderId="3" xfId="0" applyNumberFormat="1" applyFont="1" applyFill="1" applyBorder="1" applyAlignment="1">
      <alignment horizontal="center" vertical="center" wrapText="1"/>
    </xf>
    <xf numFmtId="175" fontId="8" fillId="9" borderId="18" xfId="12" applyNumberFormat="1" applyFont="1" applyFill="1" applyBorder="1" applyAlignment="1">
      <alignment horizontal="center" vertical="center" wrapText="1"/>
    </xf>
    <xf numFmtId="0" fontId="3" fillId="0" borderId="3" xfId="12" applyBorder="1" applyAlignment="1">
      <alignment horizontal="center"/>
    </xf>
    <xf numFmtId="0" fontId="3" fillId="0" borderId="39" xfId="12" applyBorder="1" applyAlignment="1">
      <alignment horizontal="center"/>
    </xf>
    <xf numFmtId="0" fontId="0" fillId="0" borderId="0" xfId="0" applyFill="1"/>
    <xf numFmtId="0" fontId="13" fillId="0" borderId="3" xfId="0" applyFont="1" applyFill="1" applyBorder="1" applyAlignment="1">
      <alignment horizontal="center" vertical="center" wrapText="1"/>
    </xf>
    <xf numFmtId="175" fontId="11" fillId="8" borderId="24" xfId="12" applyNumberFormat="1" applyFont="1" applyFill="1" applyBorder="1">
      <alignment vertical="top"/>
    </xf>
    <xf numFmtId="175" fontId="11" fillId="8" borderId="26" xfId="12" applyNumberFormat="1" applyFont="1" applyFill="1" applyBorder="1">
      <alignment vertical="top"/>
    </xf>
    <xf numFmtId="0" fontId="11" fillId="8" borderId="26" xfId="12" applyFont="1" applyFill="1" applyBorder="1">
      <alignment vertical="top"/>
    </xf>
    <xf numFmtId="175" fontId="11" fillId="8" borderId="35" xfId="12" applyNumberFormat="1" applyFont="1" applyFill="1" applyBorder="1">
      <alignment vertical="top"/>
    </xf>
    <xf numFmtId="175" fontId="11" fillId="8" borderId="40" xfId="12" applyNumberFormat="1" applyFont="1" applyFill="1" applyBorder="1">
      <alignment vertical="top"/>
    </xf>
    <xf numFmtId="0" fontId="27" fillId="0" borderId="0" xfId="5" applyFont="1"/>
    <xf numFmtId="0" fontId="8" fillId="10" borderId="69" xfId="5" applyFont="1" applyFill="1" applyBorder="1" applyAlignment="1">
      <alignment horizontal="center"/>
    </xf>
    <xf numFmtId="0" fontId="8" fillId="10" borderId="74" xfId="5" applyFont="1" applyFill="1" applyBorder="1" applyAlignment="1">
      <alignment horizontal="center"/>
    </xf>
    <xf numFmtId="0" fontId="8" fillId="10" borderId="70" xfId="5" applyFont="1" applyFill="1" applyBorder="1" applyAlignment="1">
      <alignment horizontal="center"/>
    </xf>
    <xf numFmtId="0" fontId="8" fillId="10" borderId="68" xfId="5" applyFont="1" applyFill="1" applyBorder="1" applyAlignment="1">
      <alignment horizontal="center"/>
    </xf>
    <xf numFmtId="0" fontId="27" fillId="0" borderId="32" xfId="5" applyFont="1" applyBorder="1"/>
    <xf numFmtId="0" fontId="27" fillId="0" borderId="43" xfId="5" applyFont="1" applyBorder="1"/>
    <xf numFmtId="0" fontId="27" fillId="0" borderId="3" xfId="5" applyFont="1" applyBorder="1" applyAlignment="1">
      <alignment horizontal="center"/>
    </xf>
    <xf numFmtId="0" fontId="27" fillId="0" borderId="3" xfId="5" applyFont="1" applyBorder="1"/>
    <xf numFmtId="2" fontId="8" fillId="0" borderId="33" xfId="5" applyNumberFormat="1" applyFont="1" applyBorder="1"/>
    <xf numFmtId="2" fontId="27" fillId="0" borderId="33" xfId="5" applyNumberFormat="1" applyFont="1" applyBorder="1"/>
    <xf numFmtId="0" fontId="27" fillId="0" borderId="33" xfId="5" applyFont="1" applyBorder="1"/>
    <xf numFmtId="0" fontId="30" fillId="12" borderId="32" xfId="5" applyFont="1" applyFill="1" applyBorder="1"/>
    <xf numFmtId="0" fontId="30" fillId="12" borderId="43" xfId="5" applyFont="1" applyFill="1" applyBorder="1"/>
    <xf numFmtId="0" fontId="30" fillId="12" borderId="3" xfId="5" applyFont="1" applyFill="1" applyBorder="1" applyAlignment="1">
      <alignment horizontal="center"/>
    </xf>
    <xf numFmtId="0" fontId="30" fillId="12" borderId="3" xfId="5" applyFont="1" applyFill="1" applyBorder="1"/>
    <xf numFmtId="2" fontId="8" fillId="12" borderId="33" xfId="5" applyNumberFormat="1" applyFont="1" applyFill="1" applyBorder="1"/>
    <xf numFmtId="0" fontId="30" fillId="12" borderId="75" xfId="5" applyFont="1" applyFill="1" applyBorder="1" applyAlignment="1">
      <alignment vertical="center"/>
    </xf>
    <xf numFmtId="0" fontId="30" fillId="12" borderId="53" xfId="5" applyFont="1" applyFill="1" applyBorder="1" applyAlignment="1">
      <alignment vertical="center"/>
    </xf>
    <xf numFmtId="0" fontId="30" fillId="12" borderId="1" xfId="5" applyFont="1" applyFill="1" applyBorder="1" applyAlignment="1">
      <alignment vertical="center"/>
    </xf>
    <xf numFmtId="0" fontId="30" fillId="12" borderId="76" xfId="5" applyFont="1" applyFill="1" applyBorder="1" applyAlignment="1">
      <alignment vertical="center"/>
    </xf>
    <xf numFmtId="0" fontId="27" fillId="0" borderId="53" xfId="5" applyFont="1" applyBorder="1" applyAlignment="1">
      <alignment horizontal="center"/>
    </xf>
    <xf numFmtId="0" fontId="27" fillId="0" borderId="43" xfId="5" applyFont="1" applyBorder="1" applyAlignment="1">
      <alignment horizontal="center"/>
    </xf>
    <xf numFmtId="2" fontId="3" fillId="0" borderId="33" xfId="5" applyNumberFormat="1" applyFont="1" applyBorder="1"/>
    <xf numFmtId="0" fontId="27" fillId="0" borderId="30" xfId="5" applyFont="1" applyBorder="1" applyAlignment="1">
      <alignment horizontal="center"/>
    </xf>
    <xf numFmtId="169" fontId="8" fillId="12" borderId="33" xfId="5" applyNumberFormat="1" applyFont="1" applyFill="1" applyBorder="1"/>
    <xf numFmtId="0" fontId="30" fillId="10" borderId="36" xfId="5" applyFont="1" applyFill="1" applyBorder="1"/>
    <xf numFmtId="0" fontId="30" fillId="10" borderId="77" xfId="5" applyFont="1" applyFill="1" applyBorder="1"/>
    <xf numFmtId="0" fontId="30" fillId="10" borderId="37" xfId="5" applyFont="1" applyFill="1" applyBorder="1" applyAlignment="1">
      <alignment horizontal="center"/>
    </xf>
    <xf numFmtId="0" fontId="30" fillId="10" borderId="37" xfId="5" applyFont="1" applyFill="1" applyBorder="1"/>
    <xf numFmtId="2" fontId="8" fillId="0" borderId="38" xfId="5" applyNumberFormat="1" applyFont="1" applyFill="1" applyBorder="1"/>
    <xf numFmtId="0" fontId="8" fillId="10" borderId="3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8" fillId="0" borderId="26" xfId="5" applyFont="1" applyBorder="1" applyAlignment="1">
      <alignment vertical="center" wrapText="1"/>
    </xf>
    <xf numFmtId="0" fontId="8" fillId="0" borderId="53" xfId="5" applyFont="1" applyBorder="1" applyAlignment="1">
      <alignment vertical="center" wrapText="1"/>
    </xf>
    <xf numFmtId="10" fontId="27" fillId="0" borderId="3" xfId="16" applyNumberFormat="1" applyFont="1" applyBorder="1" applyAlignment="1">
      <alignment horizontal="center" vertical="center"/>
    </xf>
    <xf numFmtId="10" fontId="27" fillId="0" borderId="0" xfId="16" applyNumberFormat="1" applyFont="1" applyFill="1" applyBorder="1" applyAlignment="1">
      <alignment horizontal="center" vertical="center"/>
    </xf>
    <xf numFmtId="10" fontId="8" fillId="7" borderId="3" xfId="5" applyNumberFormat="1" applyFont="1" applyFill="1" applyBorder="1" applyAlignment="1">
      <alignment horizontal="center"/>
    </xf>
    <xf numFmtId="10" fontId="8" fillId="0" borderId="0" xfId="5" applyNumberFormat="1" applyFont="1" applyFill="1" applyBorder="1" applyAlignment="1">
      <alignment horizontal="center"/>
    </xf>
    <xf numFmtId="10" fontId="27" fillId="0" borderId="0" xfId="5" applyNumberFormat="1" applyFont="1"/>
    <xf numFmtId="179" fontId="27" fillId="0" borderId="0" xfId="16" applyNumberFormat="1" applyFont="1"/>
    <xf numFmtId="0" fontId="27" fillId="0" borderId="0" xfId="0" applyFont="1" applyAlignment="1">
      <alignment horizontal="justify" vertical="center" wrapText="1"/>
    </xf>
    <xf numFmtId="0" fontId="27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7" fontId="32" fillId="0" borderId="3" xfId="0" applyNumberFormat="1" applyFont="1" applyBorder="1" applyAlignment="1">
      <alignment horizontal="center" vertical="center"/>
    </xf>
    <xf numFmtId="167" fontId="32" fillId="0" borderId="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181" fontId="29" fillId="0" borderId="0" xfId="10" applyNumberFormat="1" applyFont="1" applyFill="1" applyBorder="1" applyAlignment="1">
      <alignment vertical="center"/>
    </xf>
    <xf numFmtId="44" fontId="29" fillId="0" borderId="0" xfId="17" applyNumberFormat="1" applyFont="1" applyFill="1" applyBorder="1" applyAlignment="1">
      <alignment vertical="center"/>
    </xf>
    <xf numFmtId="182" fontId="29" fillId="0" borderId="0" xfId="17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81" fontId="11" fillId="0" borderId="0" xfId="10" applyNumberFormat="1" applyFont="1" applyFill="1" applyBorder="1" applyAlignment="1">
      <alignment vertical="center"/>
    </xf>
    <xf numFmtId="44" fontId="11" fillId="0" borderId="0" xfId="17" applyNumberFormat="1" applyFont="1" applyFill="1" applyBorder="1" applyAlignment="1">
      <alignment vertical="center"/>
    </xf>
    <xf numFmtId="182" fontId="11" fillId="0" borderId="0" xfId="17" applyNumberFormat="1" applyFont="1" applyFill="1" applyBorder="1" applyAlignment="1">
      <alignment vertical="center"/>
    </xf>
    <xf numFmtId="181" fontId="29" fillId="0" borderId="110" xfId="10" applyNumberFormat="1" applyFont="1" applyBorder="1" applyAlignment="1">
      <alignment vertical="center"/>
    </xf>
    <xf numFmtId="44" fontId="28" fillId="0" borderId="39" xfId="17" applyNumberFormat="1" applyFont="1" applyBorder="1" applyAlignment="1">
      <alignment vertical="center"/>
    </xf>
    <xf numFmtId="181" fontId="29" fillId="0" borderId="109" xfId="10" applyNumberFormat="1" applyFont="1" applyBorder="1" applyAlignment="1">
      <alignment vertical="center"/>
    </xf>
    <xf numFmtId="10" fontId="39" fillId="0" borderId="27" xfId="10" applyNumberFormat="1" applyFont="1" applyBorder="1" applyAlignment="1">
      <alignment horizontal="center" vertical="center"/>
    </xf>
    <xf numFmtId="44" fontId="28" fillId="0" borderId="3" xfId="17" applyNumberFormat="1" applyFont="1" applyBorder="1" applyAlignment="1">
      <alignment vertical="center"/>
    </xf>
    <xf numFmtId="10" fontId="53" fillId="0" borderId="109" xfId="10" applyNumberFormat="1" applyFont="1" applyBorder="1" applyAlignment="1">
      <alignment vertical="center"/>
    </xf>
    <xf numFmtId="44" fontId="29" fillId="0" borderId="0" xfId="17" applyNumberFormat="1" applyFont="1" applyBorder="1" applyAlignment="1">
      <alignment vertical="center"/>
    </xf>
    <xf numFmtId="182" fontId="29" fillId="0" borderId="0" xfId="17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left" vertical="center"/>
    </xf>
    <xf numFmtId="10" fontId="39" fillId="0" borderId="41" xfId="10" applyNumberFormat="1" applyFont="1" applyFill="1" applyBorder="1" applyAlignment="1">
      <alignment horizontal="center" vertical="center"/>
    </xf>
    <xf numFmtId="44" fontId="40" fillId="0" borderId="39" xfId="17" applyNumberFormat="1" applyFont="1" applyBorder="1" applyAlignment="1">
      <alignment vertical="center"/>
    </xf>
    <xf numFmtId="44" fontId="29" fillId="0" borderId="3" xfId="17" applyNumberFormat="1" applyFont="1" applyBorder="1" applyAlignment="1">
      <alignment vertical="center"/>
    </xf>
    <xf numFmtId="182" fontId="29" fillId="0" borderId="3" xfId="17" applyNumberFormat="1" applyFont="1" applyBorder="1" applyAlignment="1">
      <alignment vertical="center"/>
    </xf>
    <xf numFmtId="9" fontId="29" fillId="0" borderId="113" xfId="0" applyNumberFormat="1" applyFont="1" applyBorder="1" applyAlignment="1">
      <alignment horizontal="center" vertical="center"/>
    </xf>
    <xf numFmtId="9" fontId="29" fillId="0" borderId="114" xfId="0" applyNumberFormat="1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 wrapText="1"/>
    </xf>
    <xf numFmtId="0" fontId="29" fillId="0" borderId="115" xfId="0" applyFont="1" applyBorder="1" applyAlignment="1">
      <alignment vertical="center"/>
    </xf>
    <xf numFmtId="0" fontId="29" fillId="0" borderId="93" xfId="0" applyFont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10" fontId="55" fillId="17" borderId="107" xfId="1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4" fontId="47" fillId="0" borderId="3" xfId="17" applyNumberFormat="1" applyFont="1" applyBorder="1" applyAlignment="1">
      <alignment vertical="center"/>
    </xf>
    <xf numFmtId="9" fontId="47" fillId="0" borderId="114" xfId="0" applyNumberFormat="1" applyFont="1" applyBorder="1" applyAlignment="1">
      <alignment horizontal="center" vertical="center"/>
    </xf>
    <xf numFmtId="179" fontId="47" fillId="0" borderId="114" xfId="0" applyNumberFormat="1" applyFont="1" applyBorder="1" applyAlignment="1">
      <alignment horizontal="center" vertical="center"/>
    </xf>
    <xf numFmtId="0" fontId="47" fillId="0" borderId="114" xfId="0" applyFont="1" applyBorder="1" applyAlignment="1">
      <alignment horizontal="center" vertical="center" wrapText="1"/>
    </xf>
    <xf numFmtId="0" fontId="47" fillId="0" borderId="93" xfId="0" applyFont="1" applyBorder="1" applyAlignment="1">
      <alignment horizontal="left" vertical="center"/>
    </xf>
    <xf numFmtId="10" fontId="53" fillId="0" borderId="109" xfId="10" applyNumberFormat="1" applyFont="1" applyFill="1" applyBorder="1" applyAlignment="1">
      <alignment vertical="center"/>
    </xf>
    <xf numFmtId="44" fontId="34" fillId="0" borderId="3" xfId="17" applyNumberFormat="1" applyFont="1" applyFill="1" applyBorder="1" applyAlignment="1">
      <alignment horizontal="center" vertical="center"/>
    </xf>
    <xf numFmtId="44" fontId="34" fillId="0" borderId="113" xfId="17" applyNumberFormat="1" applyFont="1" applyFill="1" applyBorder="1" applyAlignment="1">
      <alignment horizontal="center" vertical="center"/>
    </xf>
    <xf numFmtId="0" fontId="34" fillId="0" borderId="114" xfId="0" applyFont="1" applyFill="1" applyBorder="1" applyAlignment="1">
      <alignment horizontal="center" vertical="center"/>
    </xf>
    <xf numFmtId="0" fontId="34" fillId="0" borderId="114" xfId="0" applyFont="1" applyFill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left" vertical="center"/>
    </xf>
    <xf numFmtId="0" fontId="34" fillId="0" borderId="93" xfId="0" applyFont="1" applyFill="1" applyBorder="1" applyAlignment="1">
      <alignment horizontal="left" vertical="center"/>
    </xf>
    <xf numFmtId="10" fontId="29" fillId="0" borderId="0" xfId="10" applyNumberFormat="1" applyFont="1" applyFill="1" applyBorder="1" applyAlignment="1">
      <alignment vertical="center"/>
    </xf>
    <xf numFmtId="10" fontId="39" fillId="0" borderId="41" xfId="10" applyNumberFormat="1" applyFont="1" applyBorder="1" applyAlignment="1">
      <alignment horizontal="center" vertical="center"/>
    </xf>
    <xf numFmtId="181" fontId="47" fillId="0" borderId="109" xfId="10" applyNumberFormat="1" applyFont="1" applyBorder="1" applyAlignment="1">
      <alignment vertical="center"/>
    </xf>
    <xf numFmtId="44" fontId="47" fillId="0" borderId="30" xfId="17" applyNumberFormat="1" applyFont="1" applyFill="1" applyBorder="1" applyAlignment="1">
      <alignment vertical="center"/>
    </xf>
    <xf numFmtId="182" fontId="47" fillId="0" borderId="116" xfId="17" applyNumberFormat="1" applyFont="1" applyFill="1" applyBorder="1" applyAlignment="1">
      <alignment vertical="center"/>
    </xf>
    <xf numFmtId="10" fontId="29" fillId="0" borderId="3" xfId="18" applyNumberFormat="1" applyFont="1" applyBorder="1" applyAlignment="1">
      <alignment horizontal="center" vertical="center"/>
    </xf>
    <xf numFmtId="0" fontId="47" fillId="0" borderId="2" xfId="0" applyFont="1" applyFill="1" applyBorder="1" applyAlignment="1">
      <alignment vertical="center"/>
    </xf>
    <xf numFmtId="0" fontId="57" fillId="0" borderId="115" xfId="0" applyFont="1" applyBorder="1" applyAlignment="1">
      <alignment vertical="center" wrapText="1"/>
    </xf>
    <xf numFmtId="0" fontId="47" fillId="0" borderId="117" xfId="0" applyFont="1" applyBorder="1" applyAlignment="1">
      <alignment horizontal="left" vertical="center"/>
    </xf>
    <xf numFmtId="44" fontId="40" fillId="0" borderId="30" xfId="17" applyNumberFormat="1" applyFont="1" applyFill="1" applyBorder="1" applyAlignment="1">
      <alignment vertical="center"/>
    </xf>
    <xf numFmtId="0" fontId="40" fillId="0" borderId="3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81" fontId="54" fillId="17" borderId="109" xfId="10" applyNumberFormat="1" applyFont="1" applyFill="1" applyBorder="1" applyAlignment="1">
      <alignment vertical="center"/>
    </xf>
    <xf numFmtId="44" fontId="56" fillId="17" borderId="113" xfId="17" applyNumberFormat="1" applyFont="1" applyFill="1" applyBorder="1" applyAlignment="1">
      <alignment horizontal="center" vertical="center"/>
    </xf>
    <xf numFmtId="182" fontId="56" fillId="17" borderId="114" xfId="17" applyNumberFormat="1" applyFont="1" applyFill="1" applyBorder="1" applyAlignment="1">
      <alignment horizontal="center" vertical="center"/>
    </xf>
    <xf numFmtId="0" fontId="56" fillId="17" borderId="114" xfId="0" applyFont="1" applyFill="1" applyBorder="1" applyAlignment="1">
      <alignment horizontal="center" vertical="center"/>
    </xf>
    <xf numFmtId="0" fontId="56" fillId="17" borderId="114" xfId="0" applyFont="1" applyFill="1" applyBorder="1" applyAlignment="1">
      <alignment horizontal="center" vertical="center" wrapText="1"/>
    </xf>
    <xf numFmtId="0" fontId="56" fillId="17" borderId="115" xfId="0" applyFont="1" applyFill="1" applyBorder="1" applyAlignment="1">
      <alignment horizontal="center" vertical="center"/>
    </xf>
    <xf numFmtId="0" fontId="56" fillId="17" borderId="93" xfId="0" applyFont="1" applyFill="1" applyBorder="1" applyAlignment="1">
      <alignment horizontal="left" vertical="center"/>
    </xf>
    <xf numFmtId="44" fontId="40" fillId="0" borderId="3" xfId="17" applyNumberFormat="1" applyFont="1" applyBorder="1" applyAlignment="1">
      <alignment vertical="center"/>
    </xf>
    <xf numFmtId="182" fontId="47" fillId="0" borderId="3" xfId="17" applyNumberFormat="1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justify" vertical="center" wrapText="1"/>
    </xf>
    <xf numFmtId="181" fontId="29" fillId="0" borderId="109" xfId="10" applyNumberFormat="1" applyFont="1" applyFill="1" applyBorder="1" applyAlignment="1">
      <alignment vertical="center"/>
    </xf>
    <xf numFmtId="182" fontId="34" fillId="0" borderId="3" xfId="17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/>
    </xf>
    <xf numFmtId="44" fontId="56" fillId="17" borderId="3" xfId="17" applyNumberFormat="1" applyFont="1" applyFill="1" applyBorder="1" applyAlignment="1">
      <alignment horizontal="center" vertical="center"/>
    </xf>
    <xf numFmtId="182" fontId="56" fillId="17" borderId="3" xfId="17" applyNumberFormat="1" applyFont="1" applyFill="1" applyBorder="1" applyAlignment="1">
      <alignment horizontal="center" vertical="center"/>
    </xf>
    <xf numFmtId="0" fontId="56" fillId="17" borderId="3" xfId="0" applyFont="1" applyFill="1" applyBorder="1" applyAlignment="1">
      <alignment horizontal="center" vertical="center"/>
    </xf>
    <xf numFmtId="0" fontId="56" fillId="17" borderId="3" xfId="0" applyFont="1" applyFill="1" applyBorder="1" applyAlignment="1">
      <alignment horizontal="center" vertical="center" wrapText="1"/>
    </xf>
    <xf numFmtId="0" fontId="56" fillId="17" borderId="93" xfId="0" applyFont="1" applyFill="1" applyBorder="1" applyAlignment="1">
      <alignment horizontal="center" vertical="center"/>
    </xf>
    <xf numFmtId="0" fontId="35" fillId="0" borderId="108" xfId="0" applyFont="1" applyBorder="1" applyAlignment="1">
      <alignment horizontal="left" vertical="center"/>
    </xf>
    <xf numFmtId="9" fontId="47" fillId="0" borderId="3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29" fillId="0" borderId="114" xfId="0" applyFont="1" applyBorder="1" applyAlignment="1">
      <alignment vertical="center"/>
    </xf>
    <xf numFmtId="44" fontId="29" fillId="0" borderId="0" xfId="17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181" fontId="56" fillId="17" borderId="25" xfId="10" applyNumberFormat="1" applyFont="1" applyFill="1" applyBorder="1" applyAlignment="1">
      <alignment horizontal="center" vertical="center" wrapText="1"/>
    </xf>
    <xf numFmtId="44" fontId="56" fillId="17" borderId="22" xfId="17" applyNumberFormat="1" applyFont="1" applyFill="1" applyBorder="1" applyAlignment="1">
      <alignment horizontal="center" vertical="center" wrapText="1"/>
    </xf>
    <xf numFmtId="182" fontId="56" fillId="17" borderId="22" xfId="17" applyNumberFormat="1" applyFont="1" applyFill="1" applyBorder="1" applyAlignment="1">
      <alignment horizontal="center" vertical="center" wrapText="1"/>
    </xf>
    <xf numFmtId="0" fontId="56" fillId="17" borderId="22" xfId="0" applyFont="1" applyFill="1" applyBorder="1" applyAlignment="1">
      <alignment horizontal="center" vertical="center" wrapText="1"/>
    </xf>
    <xf numFmtId="0" fontId="56" fillId="17" borderId="9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44" fontId="54" fillId="0" borderId="0" xfId="17" applyNumberFormat="1" applyFont="1" applyFill="1" applyBorder="1" applyAlignment="1">
      <alignment vertical="center"/>
    </xf>
    <xf numFmtId="181" fontId="54" fillId="0" borderId="0" xfId="10" applyNumberFormat="1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47" fillId="0" borderId="0" xfId="0" applyFont="1" applyAlignment="1">
      <alignment vertical="center" wrapText="1"/>
    </xf>
    <xf numFmtId="170" fontId="34" fillId="14" borderId="3" xfId="3" applyNumberFormat="1" applyFont="1" applyFill="1" applyBorder="1" applyAlignment="1">
      <alignment horizontal="center" vertical="center"/>
    </xf>
    <xf numFmtId="170" fontId="44" fillId="18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7" fontId="30" fillId="5" borderId="3" xfId="0" applyNumberFormat="1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170" fontId="27" fillId="0" borderId="0" xfId="0" applyNumberFormat="1" applyFont="1" applyAlignment="1">
      <alignment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3" fontId="20" fillId="5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51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166" fontId="35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166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2" fontId="27" fillId="0" borderId="0" xfId="0" applyNumberFormat="1" applyFont="1" applyFill="1" applyAlignment="1">
      <alignment vertical="center" wrapText="1"/>
    </xf>
    <xf numFmtId="181" fontId="49" fillId="10" borderId="25" xfId="10" applyNumberFormat="1" applyFont="1" applyFill="1" applyBorder="1" applyAlignment="1">
      <alignment horizontal="center" vertical="center" wrapText="1"/>
    </xf>
    <xf numFmtId="0" fontId="49" fillId="10" borderId="93" xfId="0" applyFont="1" applyFill="1" applyBorder="1" applyAlignment="1">
      <alignment horizontal="center" vertical="center"/>
    </xf>
    <xf numFmtId="0" fontId="49" fillId="10" borderId="3" xfId="0" applyFont="1" applyFill="1" applyBorder="1" applyAlignment="1">
      <alignment horizontal="center" vertical="center"/>
    </xf>
    <xf numFmtId="0" fontId="49" fillId="10" borderId="3" xfId="0" applyFont="1" applyFill="1" applyBorder="1" applyAlignment="1">
      <alignment horizontal="center" vertical="center" wrapText="1"/>
    </xf>
    <xf numFmtId="182" fontId="49" fillId="10" borderId="3" xfId="17" applyNumberFormat="1" applyFont="1" applyFill="1" applyBorder="1" applyAlignment="1">
      <alignment horizontal="center" vertical="center"/>
    </xf>
    <xf numFmtId="0" fontId="49" fillId="10" borderId="93" xfId="0" applyFont="1" applyFill="1" applyBorder="1" applyAlignment="1">
      <alignment horizontal="left" vertical="center"/>
    </xf>
    <xf numFmtId="0" fontId="49" fillId="10" borderId="115" xfId="0" applyFont="1" applyFill="1" applyBorder="1" applyAlignment="1">
      <alignment horizontal="center" vertical="center"/>
    </xf>
    <xf numFmtId="0" fontId="49" fillId="10" borderId="114" xfId="0" applyFont="1" applyFill="1" applyBorder="1" applyAlignment="1">
      <alignment horizontal="center" vertical="center" wrapText="1"/>
    </xf>
    <xf numFmtId="0" fontId="49" fillId="10" borderId="114" xfId="0" applyFont="1" applyFill="1" applyBorder="1" applyAlignment="1">
      <alignment horizontal="center" vertical="center"/>
    </xf>
    <xf numFmtId="182" fontId="49" fillId="10" borderId="114" xfId="17" applyNumberFormat="1" applyFont="1" applyFill="1" applyBorder="1" applyAlignment="1">
      <alignment horizontal="center" vertical="center"/>
    </xf>
    <xf numFmtId="181" fontId="49" fillId="0" borderId="118" xfId="10" applyNumberFormat="1" applyFont="1" applyFill="1" applyBorder="1" applyAlignment="1">
      <alignment horizontal="center" vertical="center" wrapText="1"/>
    </xf>
    <xf numFmtId="0" fontId="49" fillId="10" borderId="117" xfId="0" applyFont="1" applyFill="1" applyBorder="1" applyAlignment="1">
      <alignment horizontal="center" vertical="center" wrapText="1"/>
    </xf>
    <xf numFmtId="0" fontId="49" fillId="10" borderId="30" xfId="0" applyFont="1" applyFill="1" applyBorder="1" applyAlignment="1">
      <alignment horizontal="center" vertical="center" wrapText="1"/>
    </xf>
    <xf numFmtId="182" fontId="49" fillId="10" borderId="30" xfId="17" applyNumberFormat="1" applyFont="1" applyFill="1" applyBorder="1" applyAlignment="1">
      <alignment horizontal="center" vertical="center" wrapText="1"/>
    </xf>
    <xf numFmtId="181" fontId="49" fillId="10" borderId="119" xfId="10" applyNumberFormat="1" applyFont="1" applyFill="1" applyBorder="1" applyAlignment="1">
      <alignment horizontal="center" vertical="center" wrapText="1"/>
    </xf>
    <xf numFmtId="10" fontId="39" fillId="0" borderId="118" xfId="10" applyNumberFormat="1" applyFont="1" applyFill="1" applyBorder="1" applyAlignment="1">
      <alignment horizontal="center" vertical="center"/>
    </xf>
    <xf numFmtId="0" fontId="29" fillId="0" borderId="117" xfId="0" applyFont="1" applyBorder="1" applyAlignment="1">
      <alignment horizontal="left" vertical="center"/>
    </xf>
    <xf numFmtId="0" fontId="29" fillId="0" borderId="28" xfId="0" applyFont="1" applyBorder="1" applyAlignment="1">
      <alignment vertical="center"/>
    </xf>
    <xf numFmtId="0" fontId="29" fillId="0" borderId="122" xfId="0" applyFont="1" applyBorder="1" applyAlignment="1">
      <alignment horizontal="center" vertical="center" wrapText="1"/>
    </xf>
    <xf numFmtId="9" fontId="29" fillId="0" borderId="122" xfId="0" applyNumberFormat="1" applyFont="1" applyBorder="1" applyAlignment="1">
      <alignment horizontal="center" vertical="center"/>
    </xf>
    <xf numFmtId="9" fontId="29" fillId="0" borderId="123" xfId="0" applyNumberFormat="1" applyFont="1" applyBorder="1" applyAlignment="1">
      <alignment horizontal="center" vertical="center"/>
    </xf>
    <xf numFmtId="182" fontId="29" fillId="0" borderId="30" xfId="17" applyNumberFormat="1" applyFont="1" applyBorder="1" applyAlignment="1">
      <alignment vertical="center"/>
    </xf>
    <xf numFmtId="0" fontId="31" fillId="5" borderId="3" xfId="0" applyFont="1" applyFill="1" applyBorder="1" applyAlignment="1">
      <alignment horizontal="center" vertical="center" wrapText="1"/>
    </xf>
    <xf numFmtId="166" fontId="30" fillId="6" borderId="3" xfId="0" applyNumberFormat="1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 wrapText="1"/>
    </xf>
    <xf numFmtId="0" fontId="13" fillId="0" borderId="0" xfId="5" applyFont="1" applyBorder="1" applyAlignment="1">
      <alignment horizontal="center"/>
    </xf>
    <xf numFmtId="0" fontId="13" fillId="0" borderId="7" xfId="5" applyFont="1" applyBorder="1" applyAlignment="1">
      <alignment horizontal="center"/>
    </xf>
    <xf numFmtId="167" fontId="31" fillId="0" borderId="3" xfId="0" applyNumberFormat="1" applyFont="1" applyBorder="1" applyAlignment="1">
      <alignment horizontal="center" vertical="center"/>
    </xf>
    <xf numFmtId="0" fontId="33" fillId="0" borderId="30" xfId="0" applyFont="1" applyFill="1" applyBorder="1" applyAlignment="1">
      <alignment horizontal="justify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 wrapText="1"/>
    </xf>
    <xf numFmtId="167" fontId="32" fillId="0" borderId="30" xfId="0" applyNumberFormat="1" applyFont="1" applyBorder="1" applyAlignment="1">
      <alignment horizontal="center" vertical="center"/>
    </xf>
    <xf numFmtId="167" fontId="32" fillId="0" borderId="30" xfId="0" applyNumberFormat="1" applyFont="1" applyFill="1" applyBorder="1" applyAlignment="1">
      <alignment horizontal="center" vertical="center"/>
    </xf>
    <xf numFmtId="167" fontId="31" fillId="0" borderId="3" xfId="0" applyNumberFormat="1" applyFont="1" applyFill="1" applyBorder="1" applyAlignment="1">
      <alignment horizontal="center" vertical="center"/>
    </xf>
    <xf numFmtId="18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64" fillId="0" borderId="0" xfId="5" applyFont="1"/>
    <xf numFmtId="0" fontId="12" fillId="10" borderId="125" xfId="5" applyFont="1" applyFill="1" applyBorder="1" applyAlignment="1">
      <alignment horizontal="center"/>
    </xf>
    <xf numFmtId="172" fontId="13" fillId="0" borderId="127" xfId="1" applyNumberFormat="1" applyFont="1" applyFill="1" applyBorder="1" applyAlignment="1" applyProtection="1">
      <alignment horizontal="center"/>
    </xf>
    <xf numFmtId="171" fontId="12" fillId="10" borderId="125" xfId="1" applyFont="1" applyFill="1" applyBorder="1" applyAlignment="1" applyProtection="1">
      <alignment horizontal="center"/>
    </xf>
    <xf numFmtId="172" fontId="8" fillId="0" borderId="0" xfId="5" applyNumberFormat="1" applyFont="1"/>
    <xf numFmtId="172" fontId="12" fillId="0" borderId="0" xfId="1" applyNumberFormat="1" applyFont="1" applyFill="1" applyBorder="1" applyAlignment="1" applyProtection="1">
      <alignment horizontal="center"/>
    </xf>
    <xf numFmtId="0" fontId="34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/>
    </xf>
    <xf numFmtId="166" fontId="30" fillId="6" borderId="3" xfId="0" applyNumberFormat="1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31" fillId="0" borderId="3" xfId="5" applyFont="1" applyBorder="1" applyAlignment="1">
      <alignment horizontal="center" vertical="center"/>
    </xf>
    <xf numFmtId="0" fontId="31" fillId="0" borderId="3" xfId="5" applyFont="1" applyFill="1" applyBorder="1" applyAlignment="1">
      <alignment horizontal="center" vertical="center"/>
    </xf>
    <xf numFmtId="0" fontId="31" fillId="0" borderId="30" xfId="5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31" xfId="5" applyFont="1" applyBorder="1" applyAlignment="1">
      <alignment horizontal="center" vertical="center"/>
    </xf>
    <xf numFmtId="170" fontId="27" fillId="0" borderId="0" xfId="0" applyNumberFormat="1" applyFont="1" applyFill="1" applyAlignment="1">
      <alignment horizontal="left" vertical="center" wrapText="1"/>
    </xf>
    <xf numFmtId="167" fontId="31" fillId="5" borderId="3" xfId="0" applyNumberFormat="1" applyFont="1" applyFill="1" applyBorder="1" applyAlignment="1">
      <alignment horizontal="center" vertical="center" wrapText="1"/>
    </xf>
    <xf numFmtId="166" fontId="36" fillId="6" borderId="3" xfId="0" applyNumberFormat="1" applyFont="1" applyFill="1" applyBorder="1" applyAlignment="1">
      <alignment horizontal="center" vertical="center"/>
    </xf>
    <xf numFmtId="0" fontId="34" fillId="5" borderId="115" xfId="0" applyFont="1" applyFill="1" applyBorder="1" applyAlignment="1">
      <alignment horizontal="center" vertical="center" wrapText="1"/>
    </xf>
    <xf numFmtId="0" fontId="34" fillId="5" borderId="129" xfId="0" applyFont="1" applyFill="1" applyBorder="1" applyAlignment="1">
      <alignment horizontal="center" vertical="center" wrapText="1"/>
    </xf>
    <xf numFmtId="0" fontId="34" fillId="5" borderId="130" xfId="0" applyFont="1" applyFill="1" applyBorder="1" applyAlignment="1">
      <alignment horizontal="center" vertical="center" wrapText="1"/>
    </xf>
    <xf numFmtId="0" fontId="32" fillId="0" borderId="131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131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 wrapText="1"/>
    </xf>
    <xf numFmtId="167" fontId="32" fillId="0" borderId="131" xfId="0" applyNumberFormat="1" applyFont="1" applyBorder="1" applyAlignment="1">
      <alignment horizontal="center" vertical="center"/>
    </xf>
    <xf numFmtId="167" fontId="32" fillId="0" borderId="30" xfId="0" applyNumberFormat="1" applyFont="1" applyBorder="1" applyAlignment="1">
      <alignment horizontal="center" vertical="center"/>
    </xf>
    <xf numFmtId="0" fontId="40" fillId="6" borderId="3" xfId="0" applyFont="1" applyFill="1" applyBorder="1" applyAlignment="1">
      <alignment horizontal="right" vertical="center" wrapText="1"/>
    </xf>
    <xf numFmtId="166" fontId="40" fillId="6" borderId="3" xfId="0" applyNumberFormat="1" applyFont="1" applyFill="1" applyBorder="1" applyAlignment="1">
      <alignment horizontal="right" vertical="center"/>
    </xf>
    <xf numFmtId="0" fontId="40" fillId="15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horizontal="justify" vertical="center" wrapText="1"/>
    </xf>
    <xf numFmtId="0" fontId="31" fillId="10" borderId="3" xfId="5" applyFont="1" applyFill="1" applyBorder="1" applyAlignment="1">
      <alignment horizontal="right" vertical="center"/>
    </xf>
    <xf numFmtId="180" fontId="31" fillId="10" borderId="3" xfId="5" applyNumberFormat="1" applyFont="1" applyFill="1" applyBorder="1" applyAlignment="1">
      <alignment horizontal="right" vertical="center"/>
    </xf>
    <xf numFmtId="0" fontId="43" fillId="14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40" fillId="14" borderId="3" xfId="0" applyFont="1" applyFill="1" applyBorder="1" applyAlignment="1">
      <alignment horizontal="left" vertical="center" wrapText="1"/>
    </xf>
    <xf numFmtId="0" fontId="31" fillId="0" borderId="131" xfId="5" applyFont="1" applyBorder="1" applyAlignment="1">
      <alignment horizontal="center" vertical="center"/>
    </xf>
    <xf numFmtId="0" fontId="31" fillId="0" borderId="30" xfId="5" applyFont="1" applyBorder="1" applyAlignment="1">
      <alignment horizontal="center" vertical="center"/>
    </xf>
    <xf numFmtId="0" fontId="40" fillId="6" borderId="115" xfId="0" applyFont="1" applyFill="1" applyBorder="1" applyAlignment="1">
      <alignment horizontal="right" vertical="center" wrapText="1"/>
    </xf>
    <xf numFmtId="0" fontId="40" fillId="6" borderId="129" xfId="0" applyFont="1" applyFill="1" applyBorder="1" applyAlignment="1">
      <alignment horizontal="right" vertical="center" wrapText="1"/>
    </xf>
    <xf numFmtId="0" fontId="40" fillId="6" borderId="130" xfId="0" applyFont="1" applyFill="1" applyBorder="1" applyAlignment="1">
      <alignment horizontal="right" vertical="center" wrapText="1"/>
    </xf>
    <xf numFmtId="0" fontId="40" fillId="15" borderId="115" xfId="0" applyFont="1" applyFill="1" applyBorder="1" applyAlignment="1">
      <alignment horizontal="left" vertical="center" wrapText="1"/>
    </xf>
    <xf numFmtId="0" fontId="40" fillId="15" borderId="114" xfId="0" applyFont="1" applyFill="1" applyBorder="1" applyAlignment="1">
      <alignment horizontal="left" vertical="center" wrapText="1"/>
    </xf>
    <xf numFmtId="0" fontId="40" fillId="15" borderId="129" xfId="0" applyFont="1" applyFill="1" applyBorder="1" applyAlignment="1">
      <alignment horizontal="left" vertical="center" wrapText="1"/>
    </xf>
    <xf numFmtId="0" fontId="8" fillId="6" borderId="115" xfId="0" applyFont="1" applyFill="1" applyBorder="1" applyAlignment="1">
      <alignment horizontal="left" vertical="center" wrapText="1"/>
    </xf>
    <xf numFmtId="0" fontId="8" fillId="6" borderId="114" xfId="0" applyFont="1" applyFill="1" applyBorder="1" applyAlignment="1">
      <alignment horizontal="left" vertical="center" wrapText="1"/>
    </xf>
    <xf numFmtId="0" fontId="8" fillId="6" borderId="129" xfId="0" applyFont="1" applyFill="1" applyBorder="1" applyAlignment="1">
      <alignment horizontal="left" vertical="center" wrapText="1"/>
    </xf>
    <xf numFmtId="0" fontId="8" fillId="6" borderId="113" xfId="0" applyFont="1" applyFill="1" applyBorder="1" applyAlignment="1">
      <alignment horizontal="left" vertical="center" wrapText="1"/>
    </xf>
    <xf numFmtId="0" fontId="40" fillId="15" borderId="113" xfId="0" applyFont="1" applyFill="1" applyBorder="1" applyAlignment="1">
      <alignment horizontal="left" vertical="center" wrapText="1"/>
    </xf>
    <xf numFmtId="0" fontId="28" fillId="14" borderId="3" xfId="0" applyFont="1" applyFill="1" applyBorder="1" applyAlignment="1">
      <alignment horizontal="right" vertical="center" wrapText="1"/>
    </xf>
    <xf numFmtId="166" fontId="30" fillId="6" borderId="3" xfId="0" applyNumberFormat="1" applyFont="1" applyFill="1" applyBorder="1" applyAlignment="1">
      <alignment horizontal="center" vertical="center"/>
    </xf>
    <xf numFmtId="166" fontId="39" fillId="14" borderId="3" xfId="0" applyNumberFormat="1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 wrapText="1"/>
    </xf>
    <xf numFmtId="3" fontId="9" fillId="14" borderId="3" xfId="0" applyNumberFormat="1" applyFont="1" applyFill="1" applyBorder="1" applyAlignment="1">
      <alignment horizontal="center" vertical="center"/>
    </xf>
    <xf numFmtId="0" fontId="7" fillId="14" borderId="115" xfId="0" applyFont="1" applyFill="1" applyBorder="1" applyAlignment="1">
      <alignment horizontal="left" vertical="center" wrapText="1"/>
    </xf>
    <xf numFmtId="0" fontId="7" fillId="14" borderId="114" xfId="0" applyFont="1" applyFill="1" applyBorder="1" applyAlignment="1">
      <alignment horizontal="left" vertical="center" wrapText="1"/>
    </xf>
    <xf numFmtId="0" fontId="7" fillId="14" borderId="113" xfId="0" applyFont="1" applyFill="1" applyBorder="1" applyAlignment="1">
      <alignment horizontal="left" vertical="center" wrapText="1"/>
    </xf>
    <xf numFmtId="170" fontId="49" fillId="18" borderId="3" xfId="0" applyNumberFormat="1" applyFont="1" applyFill="1" applyBorder="1" applyAlignment="1">
      <alignment horizontal="right" vertical="center"/>
    </xf>
    <xf numFmtId="170" fontId="44" fillId="14" borderId="3" xfId="0" applyNumberFormat="1" applyFont="1" applyFill="1" applyBorder="1" applyAlignment="1">
      <alignment horizontal="right" vertical="center"/>
    </xf>
    <xf numFmtId="0" fontId="34" fillId="6" borderId="3" xfId="0" applyFont="1" applyFill="1" applyBorder="1" applyAlignment="1">
      <alignment horizontal="justify" vertical="center" wrapText="1"/>
    </xf>
    <xf numFmtId="166" fontId="32" fillId="19" borderId="115" xfId="0" applyNumberFormat="1" applyFont="1" applyFill="1" applyBorder="1" applyAlignment="1">
      <alignment horizontal="center" vertical="center"/>
    </xf>
    <xf numFmtId="166" fontId="32" fillId="19" borderId="129" xfId="0" applyNumberFormat="1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 wrapText="1"/>
    </xf>
    <xf numFmtId="0" fontId="50" fillId="14" borderId="3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left" vertical="center" wrapText="1"/>
    </xf>
    <xf numFmtId="3" fontId="61" fillId="14" borderId="3" xfId="0" applyNumberFormat="1" applyFont="1" applyFill="1" applyBorder="1" applyAlignment="1">
      <alignment horizontal="right" vertical="center" wrapText="1"/>
    </xf>
    <xf numFmtId="166" fontId="30" fillId="14" borderId="3" xfId="0" applyNumberFormat="1" applyFont="1" applyFill="1" applyBorder="1" applyAlignment="1">
      <alignment horizontal="center" vertical="center"/>
    </xf>
    <xf numFmtId="166" fontId="32" fillId="19" borderId="114" xfId="0" applyNumberFormat="1" applyFont="1" applyFill="1" applyBorder="1" applyAlignment="1">
      <alignment horizontal="center" vertical="center"/>
    </xf>
    <xf numFmtId="166" fontId="32" fillId="19" borderId="113" xfId="0" applyNumberFormat="1" applyFont="1" applyFill="1" applyBorder="1" applyAlignment="1">
      <alignment horizontal="center" vertical="center"/>
    </xf>
    <xf numFmtId="166" fontId="32" fillId="19" borderId="130" xfId="0" applyNumberFormat="1" applyFont="1" applyFill="1" applyBorder="1" applyAlignment="1">
      <alignment horizontal="center" vertical="center"/>
    </xf>
    <xf numFmtId="0" fontId="6" fillId="10" borderId="3" xfId="19" applyNumberFormat="1" applyFont="1" applyFill="1" applyBorder="1" applyAlignment="1">
      <alignment horizontal="center" vertical="center" wrapText="1"/>
    </xf>
    <xf numFmtId="166" fontId="40" fillId="10" borderId="3" xfId="0" applyNumberFormat="1" applyFont="1" applyFill="1" applyBorder="1" applyAlignment="1">
      <alignment horizontal="center" vertical="center"/>
    </xf>
    <xf numFmtId="0" fontId="39" fillId="14" borderId="35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39" fillId="14" borderId="124" xfId="0" applyFont="1" applyFill="1" applyBorder="1" applyAlignment="1">
      <alignment horizontal="center" vertical="center" wrapText="1"/>
    </xf>
    <xf numFmtId="0" fontId="39" fillId="14" borderId="79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40" fillId="6" borderId="26" xfId="0" applyFont="1" applyFill="1" applyBorder="1" applyAlignment="1">
      <alignment horizontal="center" vertical="center" wrapText="1"/>
    </xf>
    <xf numFmtId="0" fontId="40" fillId="6" borderId="53" xfId="0" applyFont="1" applyFill="1" applyBorder="1" applyAlignment="1">
      <alignment horizontal="center" vertical="center" wrapText="1"/>
    </xf>
    <xf numFmtId="0" fontId="40" fillId="6" borderId="114" xfId="0" applyFont="1" applyFill="1" applyBorder="1" applyAlignment="1">
      <alignment horizontal="center" vertical="center" wrapText="1"/>
    </xf>
    <xf numFmtId="0" fontId="40" fillId="6" borderId="43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left" vertical="center" wrapText="1"/>
    </xf>
    <xf numFmtId="0" fontId="30" fillId="10" borderId="53" xfId="0" applyFont="1" applyFill="1" applyBorder="1" applyAlignment="1">
      <alignment horizontal="left" vertical="center" wrapText="1"/>
    </xf>
    <xf numFmtId="0" fontId="30" fillId="10" borderId="114" xfId="0" applyFont="1" applyFill="1" applyBorder="1" applyAlignment="1">
      <alignment horizontal="left" vertical="center" wrapText="1"/>
    </xf>
    <xf numFmtId="0" fontId="30" fillId="10" borderId="43" xfId="0" applyFont="1" applyFill="1" applyBorder="1" applyAlignment="1">
      <alignment horizontal="left" vertical="center" wrapText="1"/>
    </xf>
    <xf numFmtId="166" fontId="30" fillId="9" borderId="26" xfId="0" applyNumberFormat="1" applyFont="1" applyFill="1" applyBorder="1" applyAlignment="1">
      <alignment horizontal="center" vertical="center" wrapText="1"/>
    </xf>
    <xf numFmtId="166" fontId="30" fillId="9" borderId="43" xfId="0" applyNumberFormat="1" applyFont="1" applyFill="1" applyBorder="1" applyAlignment="1">
      <alignment horizontal="center" vertical="center" wrapText="1"/>
    </xf>
    <xf numFmtId="166" fontId="30" fillId="9" borderId="114" xfId="0" applyNumberFormat="1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right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40" fillId="10" borderId="93" xfId="0" applyFont="1" applyFill="1" applyBorder="1" applyAlignment="1">
      <alignment horizontal="right" vertical="center"/>
    </xf>
    <xf numFmtId="0" fontId="40" fillId="10" borderId="3" xfId="0" applyFont="1" applyFill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40" fillId="10" borderId="98" xfId="0" applyFont="1" applyFill="1" applyBorder="1" applyAlignment="1">
      <alignment horizontal="right" vertical="center"/>
    </xf>
    <xf numFmtId="0" fontId="40" fillId="10" borderId="114" xfId="0" applyFont="1" applyFill="1" applyBorder="1" applyAlignment="1">
      <alignment horizontal="right" vertical="center"/>
    </xf>
    <xf numFmtId="0" fontId="40" fillId="10" borderId="113" xfId="0" applyFont="1" applyFill="1" applyBorder="1" applyAlignment="1">
      <alignment horizontal="right" vertical="center"/>
    </xf>
    <xf numFmtId="0" fontId="40" fillId="10" borderId="96" xfId="0" applyFont="1" applyFill="1" applyBorder="1" applyAlignment="1">
      <alignment horizontal="right" vertical="center"/>
    </xf>
    <xf numFmtId="0" fontId="40" fillId="10" borderId="112" xfId="0" applyFont="1" applyFill="1" applyBorder="1" applyAlignment="1">
      <alignment horizontal="right" vertical="center"/>
    </xf>
    <xf numFmtId="0" fontId="40" fillId="10" borderId="97" xfId="0" applyFont="1" applyFill="1" applyBorder="1" applyAlignment="1">
      <alignment horizontal="right" vertical="center"/>
    </xf>
    <xf numFmtId="0" fontId="39" fillId="10" borderId="115" xfId="0" applyFont="1" applyFill="1" applyBorder="1" applyAlignment="1">
      <alignment horizontal="center" vertical="center"/>
    </xf>
    <xf numFmtId="0" fontId="39" fillId="10" borderId="114" xfId="0" applyFont="1" applyFill="1" applyBorder="1" applyAlignment="1">
      <alignment horizontal="center" vertical="center"/>
    </xf>
    <xf numFmtId="0" fontId="39" fillId="10" borderId="113" xfId="0" applyFont="1" applyFill="1" applyBorder="1" applyAlignment="1">
      <alignment horizontal="center" vertical="center"/>
    </xf>
    <xf numFmtId="0" fontId="10" fillId="10" borderId="120" xfId="0" applyFont="1" applyFill="1" applyBorder="1" applyAlignment="1">
      <alignment horizontal="center" vertical="center"/>
    </xf>
    <xf numFmtId="0" fontId="10" fillId="10" borderId="121" xfId="0" applyFont="1" applyFill="1" applyBorder="1" applyAlignment="1">
      <alignment horizontal="center" vertical="center"/>
    </xf>
    <xf numFmtId="0" fontId="10" fillId="10" borderId="107" xfId="0" applyFont="1" applyFill="1" applyBorder="1" applyAlignment="1">
      <alignment horizontal="center" vertical="center"/>
    </xf>
    <xf numFmtId="0" fontId="10" fillId="10" borderId="115" xfId="0" applyFont="1" applyFill="1" applyBorder="1" applyAlignment="1">
      <alignment horizontal="center" vertical="center"/>
    </xf>
    <xf numFmtId="0" fontId="10" fillId="10" borderId="114" xfId="0" applyFont="1" applyFill="1" applyBorder="1" applyAlignment="1">
      <alignment horizontal="center" vertical="center"/>
    </xf>
    <xf numFmtId="0" fontId="10" fillId="10" borderId="113" xfId="0" applyFont="1" applyFill="1" applyBorder="1" applyAlignment="1">
      <alignment horizontal="center" vertical="center"/>
    </xf>
    <xf numFmtId="0" fontId="40" fillId="10" borderId="94" xfId="0" applyFont="1" applyFill="1" applyBorder="1" applyAlignment="1">
      <alignment horizontal="right" vertical="center"/>
    </xf>
    <xf numFmtId="0" fontId="40" fillId="10" borderId="39" xfId="0" applyFont="1" applyFill="1" applyBorder="1" applyAlignment="1">
      <alignment horizontal="right" vertical="center"/>
    </xf>
    <xf numFmtId="0" fontId="56" fillId="17" borderId="95" xfId="0" applyFont="1" applyFill="1" applyBorder="1" applyAlignment="1">
      <alignment horizontal="left" vertical="center"/>
    </xf>
    <xf numFmtId="0" fontId="56" fillId="17" borderId="22" xfId="0" applyFont="1" applyFill="1" applyBorder="1" applyAlignment="1">
      <alignment horizontal="left" vertical="center"/>
    </xf>
    <xf numFmtId="0" fontId="34" fillId="0" borderId="98" xfId="0" applyFont="1" applyFill="1" applyBorder="1" applyAlignment="1">
      <alignment horizontal="left" vertical="center"/>
    </xf>
    <xf numFmtId="0" fontId="34" fillId="0" borderId="114" xfId="0" applyFont="1" applyFill="1" applyBorder="1" applyAlignment="1">
      <alignment horizontal="left" vertical="center"/>
    </xf>
    <xf numFmtId="0" fontId="34" fillId="0" borderId="113" xfId="0" applyFont="1" applyFill="1" applyBorder="1" applyAlignment="1">
      <alignment horizontal="left" vertical="center"/>
    </xf>
    <xf numFmtId="0" fontId="56" fillId="17" borderId="103" xfId="0" applyFont="1" applyFill="1" applyBorder="1" applyAlignment="1">
      <alignment horizontal="left" vertical="center"/>
    </xf>
    <xf numFmtId="0" fontId="56" fillId="17" borderId="111" xfId="0" applyFont="1" applyFill="1" applyBorder="1" applyAlignment="1">
      <alignment horizontal="left" vertical="center"/>
    </xf>
    <xf numFmtId="0" fontId="56" fillId="17" borderId="104" xfId="0" applyFont="1" applyFill="1" applyBorder="1" applyAlignment="1">
      <alignment horizontal="left" vertical="center"/>
    </xf>
    <xf numFmtId="0" fontId="8" fillId="4" borderId="61" xfId="5" applyFont="1" applyFill="1" applyBorder="1" applyAlignment="1">
      <alignment horizontal="center"/>
    </xf>
    <xf numFmtId="0" fontId="8" fillId="4" borderId="62" xfId="5" applyFont="1" applyFill="1" applyBorder="1" applyAlignment="1">
      <alignment horizontal="center"/>
    </xf>
    <xf numFmtId="0" fontId="8" fillId="4" borderId="63" xfId="5" applyFont="1" applyFill="1" applyBorder="1" applyAlignment="1">
      <alignment horizontal="center"/>
    </xf>
    <xf numFmtId="0" fontId="8" fillId="4" borderId="0" xfId="5" applyFont="1" applyFill="1" applyBorder="1" applyAlignment="1">
      <alignment horizontal="center"/>
    </xf>
    <xf numFmtId="0" fontId="8" fillId="4" borderId="57" xfId="5" applyFont="1" applyFill="1" applyBorder="1" applyAlignment="1">
      <alignment horizontal="center"/>
    </xf>
    <xf numFmtId="0" fontId="15" fillId="4" borderId="59" xfId="5" applyFont="1" applyFill="1" applyBorder="1" applyAlignment="1">
      <alignment horizontal="center" vertical="justify"/>
    </xf>
    <xf numFmtId="0" fontId="15" fillId="4" borderId="60" xfId="5" applyFont="1" applyFill="1" applyBorder="1" applyAlignment="1">
      <alignment horizontal="center" vertical="justify"/>
    </xf>
    <xf numFmtId="0" fontId="15" fillId="4" borderId="64" xfId="5" applyFont="1" applyFill="1" applyBorder="1" applyAlignment="1">
      <alignment horizontal="center" vertical="justify"/>
    </xf>
    <xf numFmtId="0" fontId="8" fillId="0" borderId="54" xfId="5" applyFont="1" applyBorder="1" applyAlignment="1">
      <alignment horizontal="center"/>
    </xf>
    <xf numFmtId="0" fontId="8" fillId="0" borderId="55" xfId="5" applyFont="1" applyBorder="1" applyAlignment="1">
      <alignment horizontal="center"/>
    </xf>
    <xf numFmtId="0" fontId="8" fillId="0" borderId="86" xfId="5" applyFont="1" applyBorder="1" applyAlignment="1">
      <alignment horizontal="center"/>
    </xf>
    <xf numFmtId="0" fontId="4" fillId="4" borderId="56" xfId="5" applyFont="1" applyFill="1" applyBorder="1" applyAlignment="1">
      <alignment horizontal="center" vertical="center" wrapText="1"/>
    </xf>
    <xf numFmtId="0" fontId="4" fillId="4" borderId="0" xfId="5" applyFont="1" applyFill="1" applyBorder="1" applyAlignment="1">
      <alignment horizontal="center" vertical="center" wrapText="1"/>
    </xf>
    <xf numFmtId="0" fontId="4" fillId="4" borderId="57" xfId="5" applyFont="1" applyFill="1" applyBorder="1" applyAlignment="1">
      <alignment horizontal="center" vertical="center" wrapText="1"/>
    </xf>
    <xf numFmtId="0" fontId="2" fillId="0" borderId="87" xfId="5" applyFont="1" applyBorder="1" applyAlignment="1">
      <alignment horizontal="justify" vertical="center" wrapText="1"/>
    </xf>
    <xf numFmtId="0" fontId="2" fillId="0" borderId="82" xfId="5" applyFont="1" applyBorder="1" applyAlignment="1">
      <alignment horizontal="justify" vertical="center" wrapText="1"/>
    </xf>
    <xf numFmtId="0" fontId="2" fillId="0" borderId="15" xfId="5" applyFont="1" applyBorder="1" applyAlignment="1">
      <alignment horizontal="justify" vertical="center" wrapText="1"/>
    </xf>
    <xf numFmtId="0" fontId="2" fillId="0" borderId="10" xfId="5" applyFont="1" applyBorder="1" applyAlignment="1">
      <alignment horizontal="justify" vertical="center" wrapText="1"/>
    </xf>
    <xf numFmtId="0" fontId="2" fillId="0" borderId="0" xfId="5" applyFont="1" applyBorder="1" applyAlignment="1">
      <alignment horizontal="justify" vertical="center" wrapText="1"/>
    </xf>
    <xf numFmtId="0" fontId="2" fillId="0" borderId="16" xfId="5" applyFont="1" applyBorder="1" applyAlignment="1">
      <alignment horizontal="justify" vertical="center" wrapText="1"/>
    </xf>
    <xf numFmtId="0" fontId="8" fillId="0" borderId="83" xfId="5" applyFont="1" applyFill="1" applyBorder="1" applyAlignment="1">
      <alignment horizontal="center" vertical="center"/>
    </xf>
    <xf numFmtId="0" fontId="8" fillId="0" borderId="88" xfId="5" applyFont="1" applyFill="1" applyBorder="1" applyAlignment="1">
      <alignment horizontal="center" vertical="center"/>
    </xf>
    <xf numFmtId="0" fontId="2" fillId="0" borderId="58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4" fillId="10" borderId="4" xfId="5" applyFont="1" applyFill="1" applyBorder="1"/>
    <xf numFmtId="0" fontId="4" fillId="10" borderId="5" xfId="5" applyFont="1" applyFill="1" applyBorder="1"/>
    <xf numFmtId="0" fontId="4" fillId="10" borderId="6" xfId="5" applyFont="1" applyFill="1" applyBorder="1"/>
    <xf numFmtId="0" fontId="12" fillId="10" borderId="89" xfId="5" applyFont="1" applyFill="1" applyBorder="1" applyAlignment="1">
      <alignment horizontal="center"/>
    </xf>
    <xf numFmtId="0" fontId="12" fillId="10" borderId="81" xfId="5" applyFont="1" applyFill="1" applyBorder="1" applyAlignment="1">
      <alignment horizontal="center"/>
    </xf>
    <xf numFmtId="0" fontId="13" fillId="0" borderId="84" xfId="5" applyFont="1" applyBorder="1" applyAlignment="1">
      <alignment horizontal="left"/>
    </xf>
    <xf numFmtId="0" fontId="13" fillId="0" borderId="83" xfId="5" applyFont="1" applyBorder="1" applyAlignment="1">
      <alignment horizontal="left"/>
    </xf>
    <xf numFmtId="0" fontId="13" fillId="0" borderId="84" xfId="5" applyFont="1" applyBorder="1" applyAlignment="1">
      <alignment horizontal="justify"/>
    </xf>
    <xf numFmtId="0" fontId="13" fillId="0" borderId="14" xfId="5" applyFont="1" applyBorder="1" applyAlignment="1">
      <alignment horizontal="justify"/>
    </xf>
    <xf numFmtId="0" fontId="13" fillId="0" borderId="84" xfId="5" applyFont="1" applyBorder="1" applyAlignment="1"/>
    <xf numFmtId="0" fontId="13" fillId="0" borderId="14" xfId="5" applyFont="1" applyBorder="1" applyAlignment="1"/>
    <xf numFmtId="0" fontId="13" fillId="0" borderId="83" xfId="5" applyFont="1" applyBorder="1" applyAlignment="1"/>
    <xf numFmtId="0" fontId="13" fillId="0" borderId="13" xfId="5" applyFont="1" applyBorder="1" applyAlignment="1">
      <alignment horizontal="center"/>
    </xf>
    <xf numFmtId="0" fontId="13" fillId="0" borderId="7" xfId="5" applyFont="1" applyBorder="1" applyAlignment="1">
      <alignment horizontal="center"/>
    </xf>
    <xf numFmtId="0" fontId="13" fillId="0" borderId="90" xfId="5" applyFont="1" applyBorder="1" applyAlignment="1">
      <alignment horizontal="center"/>
    </xf>
    <xf numFmtId="0" fontId="13" fillId="0" borderId="85" xfId="5" applyFont="1" applyBorder="1" applyAlignment="1">
      <alignment horizontal="center"/>
    </xf>
    <xf numFmtId="0" fontId="13" fillId="0" borderId="84" xfId="5" applyFont="1" applyBorder="1"/>
    <xf numFmtId="0" fontId="13" fillId="0" borderId="83" xfId="5" applyFont="1" applyBorder="1"/>
    <xf numFmtId="0" fontId="13" fillId="0" borderId="0" xfId="5" applyFont="1" applyBorder="1" applyAlignment="1">
      <alignment horizontal="center"/>
    </xf>
    <xf numFmtId="0" fontId="13" fillId="0" borderId="12" xfId="5" applyFont="1" applyBorder="1" applyAlignment="1">
      <alignment horizontal="center"/>
    </xf>
    <xf numFmtId="0" fontId="13" fillId="0" borderId="91" xfId="5" applyFont="1" applyBorder="1" applyAlignment="1">
      <alignment horizontal="center"/>
    </xf>
    <xf numFmtId="0" fontId="13" fillId="0" borderId="30" xfId="5" applyFont="1" applyBorder="1" applyAlignment="1">
      <alignment horizontal="center"/>
    </xf>
    <xf numFmtId="0" fontId="13" fillId="0" borderId="92" xfId="5" applyFont="1" applyBorder="1" applyAlignment="1">
      <alignment horizontal="center"/>
    </xf>
    <xf numFmtId="0" fontId="13" fillId="0" borderId="3" xfId="5" applyFont="1" applyBorder="1" applyAlignment="1">
      <alignment horizontal="center"/>
    </xf>
    <xf numFmtId="0" fontId="8" fillId="0" borderId="125" xfId="5" applyFont="1" applyBorder="1" applyAlignment="1">
      <alignment horizontal="center"/>
    </xf>
    <xf numFmtId="0" fontId="2" fillId="0" borderId="126" xfId="5" applyFont="1" applyBorder="1" applyAlignment="1">
      <alignment horizontal="justify" vertical="center" wrapText="1"/>
    </xf>
    <xf numFmtId="0" fontId="13" fillId="0" borderId="128" xfId="5" applyFont="1" applyBorder="1" applyAlignment="1">
      <alignment horizontal="center"/>
    </xf>
    <xf numFmtId="0" fontId="13" fillId="0" borderId="127" xfId="5" applyFont="1" applyBorder="1" applyAlignment="1">
      <alignment horizontal="center"/>
    </xf>
    <xf numFmtId="0" fontId="11" fillId="0" borderId="98" xfId="12" applyFont="1" applyBorder="1" applyAlignment="1" applyProtection="1">
      <alignment horizontal="left"/>
    </xf>
    <xf numFmtId="0" fontId="11" fillId="0" borderId="43" xfId="12" applyFont="1" applyBorder="1" applyAlignment="1" applyProtection="1">
      <alignment horizontal="left"/>
    </xf>
    <xf numFmtId="0" fontId="22" fillId="14" borderId="4" xfId="5" applyFont="1" applyFill="1" applyBorder="1" applyAlignment="1">
      <alignment horizontal="center" vertical="center" wrapText="1"/>
    </xf>
    <xf numFmtId="0" fontId="22" fillId="14" borderId="5" xfId="5" applyFont="1" applyFill="1" applyBorder="1" applyAlignment="1">
      <alignment horizontal="center" vertical="center" wrapText="1"/>
    </xf>
    <xf numFmtId="0" fontId="22" fillId="14" borderId="6" xfId="5" applyFont="1" applyFill="1" applyBorder="1" applyAlignment="1">
      <alignment horizontal="center" vertical="center" wrapText="1"/>
    </xf>
    <xf numFmtId="0" fontId="16" fillId="6" borderId="61" xfId="12" applyFont="1" applyFill="1" applyBorder="1" applyAlignment="1">
      <alignment horizontal="center"/>
    </xf>
    <xf numFmtId="0" fontId="16" fillId="6" borderId="62" xfId="12" applyFont="1" applyFill="1" applyBorder="1" applyAlignment="1">
      <alignment horizontal="center"/>
    </xf>
    <xf numFmtId="0" fontId="16" fillId="6" borderId="63" xfId="12" applyFont="1" applyFill="1" applyBorder="1" applyAlignment="1">
      <alignment horizontal="center"/>
    </xf>
    <xf numFmtId="0" fontId="16" fillId="6" borderId="56" xfId="12" applyFont="1" applyFill="1" applyBorder="1" applyAlignment="1">
      <alignment horizontal="center"/>
    </xf>
    <xf numFmtId="0" fontId="16" fillId="6" borderId="0" xfId="12" applyFont="1" applyFill="1" applyBorder="1" applyAlignment="1">
      <alignment horizontal="center"/>
    </xf>
    <xf numFmtId="0" fontId="16" fillId="6" borderId="57" xfId="12" applyFont="1" applyFill="1" applyBorder="1" applyAlignment="1">
      <alignment horizontal="center"/>
    </xf>
    <xf numFmtId="2" fontId="19" fillId="6" borderId="56" xfId="12" applyNumberFormat="1" applyFont="1" applyFill="1" applyBorder="1" applyAlignment="1">
      <alignment horizontal="center"/>
    </xf>
    <xf numFmtId="2" fontId="19" fillId="6" borderId="0" xfId="12" applyNumberFormat="1" applyFont="1" applyFill="1" applyBorder="1" applyAlignment="1">
      <alignment horizontal="center"/>
    </xf>
    <xf numFmtId="2" fontId="19" fillId="6" borderId="57" xfId="12" applyNumberFormat="1" applyFont="1" applyFill="1" applyBorder="1" applyAlignment="1">
      <alignment horizontal="center"/>
    </xf>
    <xf numFmtId="0" fontId="11" fillId="6" borderId="59" xfId="12" applyFont="1" applyFill="1" applyBorder="1" applyAlignment="1">
      <alignment horizontal="center" vertical="top"/>
    </xf>
    <xf numFmtId="0" fontId="11" fillId="6" borderId="60" xfId="12" applyFont="1" applyFill="1" applyBorder="1" applyAlignment="1">
      <alignment horizontal="center" vertical="top"/>
    </xf>
    <xf numFmtId="0" fontId="11" fillId="6" borderId="64" xfId="12" applyFont="1" applyFill="1" applyBorder="1" applyAlignment="1">
      <alignment horizontal="center" vertical="top"/>
    </xf>
    <xf numFmtId="0" fontId="8" fillId="9" borderId="49" xfId="12" applyFont="1" applyFill="1" applyBorder="1" applyAlignment="1">
      <alignment horizontal="center" vertical="center" wrapText="1"/>
    </xf>
    <xf numFmtId="0" fontId="8" fillId="9" borderId="50" xfId="12" applyFont="1" applyFill="1" applyBorder="1" applyAlignment="1">
      <alignment horizontal="center" vertical="center" wrapText="1"/>
    </xf>
    <xf numFmtId="0" fontId="8" fillId="9" borderId="44" xfId="12" applyFont="1" applyFill="1" applyBorder="1" applyAlignment="1">
      <alignment horizontal="center" vertical="center" wrapText="1"/>
    </xf>
    <xf numFmtId="0" fontId="3" fillId="9" borderId="45" xfId="12" applyFont="1" applyFill="1" applyBorder="1" applyAlignment="1">
      <alignment horizontal="center" vertical="center" wrapText="1"/>
    </xf>
    <xf numFmtId="175" fontId="8" fillId="9" borderId="44" xfId="12" applyNumberFormat="1" applyFont="1" applyFill="1" applyBorder="1" applyAlignment="1">
      <alignment horizontal="center" vertical="center" wrapText="1"/>
    </xf>
    <xf numFmtId="175" fontId="8" fillId="9" borderId="18" xfId="12" applyNumberFormat="1" applyFont="1" applyFill="1" applyBorder="1" applyAlignment="1">
      <alignment horizontal="center" vertical="center" wrapText="1"/>
    </xf>
    <xf numFmtId="0" fontId="3" fillId="9" borderId="20" xfId="12" applyFont="1" applyFill="1" applyBorder="1" applyAlignment="1">
      <alignment horizontal="center" vertical="center" wrapText="1"/>
    </xf>
    <xf numFmtId="0" fontId="5" fillId="2" borderId="65" xfId="12" applyFont="1" applyFill="1" applyBorder="1" applyAlignment="1">
      <alignment horizontal="center" vertical="top"/>
    </xf>
    <xf numFmtId="0" fontId="5" fillId="2" borderId="66" xfId="12" applyFont="1" applyFill="1" applyBorder="1" applyAlignment="1">
      <alignment horizontal="center" vertical="top"/>
    </xf>
    <xf numFmtId="0" fontId="5" fillId="2" borderId="67" xfId="12" applyFont="1" applyFill="1" applyBorder="1" applyAlignment="1">
      <alignment horizontal="center" vertical="top"/>
    </xf>
    <xf numFmtId="0" fontId="7" fillId="0" borderId="99" xfId="12" applyFont="1" applyBorder="1" applyAlignment="1" applyProtection="1">
      <alignment horizontal="center"/>
    </xf>
    <xf numFmtId="0" fontId="7" fillId="0" borderId="100" xfId="12" applyFont="1" applyBorder="1" applyAlignment="1" applyProtection="1">
      <alignment horizontal="center"/>
    </xf>
    <xf numFmtId="0" fontId="7" fillId="0" borderId="101" xfId="12" applyFont="1" applyBorder="1" applyAlignment="1" applyProtection="1">
      <alignment horizontal="center"/>
    </xf>
    <xf numFmtId="0" fontId="8" fillId="0" borderId="99" xfId="12" applyFont="1" applyBorder="1" applyAlignment="1" applyProtection="1">
      <alignment horizontal="center"/>
    </xf>
    <xf numFmtId="0" fontId="8" fillId="0" borderId="102" xfId="12" applyFont="1" applyBorder="1" applyAlignment="1" applyProtection="1">
      <alignment horizontal="center"/>
    </xf>
    <xf numFmtId="0" fontId="11" fillId="0" borderId="103" xfId="12" applyFont="1" applyBorder="1" applyAlignment="1" applyProtection="1">
      <alignment horizontal="left"/>
    </xf>
    <xf numFmtId="0" fontId="11" fillId="0" borderId="104" xfId="12" applyFont="1" applyBorder="1" applyAlignment="1" applyProtection="1">
      <alignment horizontal="left"/>
    </xf>
    <xf numFmtId="0" fontId="3" fillId="0" borderId="93" xfId="12" applyBorder="1" applyAlignment="1">
      <alignment horizontal="center"/>
    </xf>
    <xf numFmtId="0" fontId="3" fillId="0" borderId="3" xfId="12" applyBorder="1" applyAlignment="1">
      <alignment horizontal="center"/>
    </xf>
    <xf numFmtId="0" fontId="11" fillId="0" borderId="96" xfId="12" applyFont="1" applyBorder="1" applyAlignment="1" applyProtection="1">
      <alignment horizontal="left"/>
    </xf>
    <xf numFmtId="0" fontId="11" fillId="0" borderId="97" xfId="12" applyFont="1" applyBorder="1" applyAlignment="1" applyProtection="1">
      <alignment horizontal="left"/>
    </xf>
    <xf numFmtId="2" fontId="3" fillId="0" borderId="26" xfId="13" applyNumberFormat="1" applyFont="1" applyBorder="1" applyAlignment="1">
      <alignment horizontal="center"/>
    </xf>
    <xf numFmtId="2" fontId="3" fillId="0" borderId="43" xfId="13" applyNumberFormat="1" applyFont="1" applyBorder="1" applyAlignment="1">
      <alignment horizontal="center"/>
    </xf>
    <xf numFmtId="0" fontId="3" fillId="0" borderId="94" xfId="12" applyBorder="1" applyAlignment="1">
      <alignment horizontal="center"/>
    </xf>
    <xf numFmtId="0" fontId="3" fillId="0" borderId="39" xfId="12" applyBorder="1" applyAlignment="1">
      <alignment horizontal="center"/>
    </xf>
    <xf numFmtId="0" fontId="5" fillId="2" borderId="95" xfId="12" applyFont="1" applyFill="1" applyBorder="1" applyAlignment="1">
      <alignment horizontal="center" vertical="top"/>
    </xf>
    <xf numFmtId="0" fontId="5" fillId="2" borderId="22" xfId="12" applyFont="1" applyFill="1" applyBorder="1" applyAlignment="1">
      <alignment horizontal="center" vertical="top"/>
    </xf>
    <xf numFmtId="0" fontId="5" fillId="2" borderId="25" xfId="12" applyFont="1" applyFill="1" applyBorder="1" applyAlignment="1">
      <alignment horizontal="center" vertical="top"/>
    </xf>
    <xf numFmtId="0" fontId="3" fillId="0" borderId="93" xfId="12" applyBorder="1" applyAlignment="1">
      <alignment horizontal="left" vertical="top"/>
    </xf>
    <xf numFmtId="0" fontId="3" fillId="0" borderId="3" xfId="12" applyBorder="1" applyAlignment="1">
      <alignment horizontal="left" vertical="top"/>
    </xf>
    <xf numFmtId="2" fontId="3" fillId="0" borderId="26" xfId="12" applyNumberFormat="1" applyFont="1" applyBorder="1" applyAlignment="1">
      <alignment horizontal="center"/>
    </xf>
    <xf numFmtId="2" fontId="3" fillId="0" borderId="43" xfId="12" applyNumberFormat="1" applyFont="1" applyBorder="1" applyAlignment="1">
      <alignment horizontal="center"/>
    </xf>
    <xf numFmtId="0" fontId="3" fillId="0" borderId="94" xfId="12" applyBorder="1" applyAlignment="1">
      <alignment horizontal="left" vertical="top"/>
    </xf>
    <xf numFmtId="0" fontId="3" fillId="0" borderId="39" xfId="12" applyBorder="1" applyAlignment="1">
      <alignment horizontal="left" vertical="top"/>
    </xf>
    <xf numFmtId="2" fontId="3" fillId="0" borderId="53" xfId="12" applyNumberFormat="1" applyFont="1" applyBorder="1" applyAlignment="1">
      <alignment horizontal="center"/>
    </xf>
    <xf numFmtId="169" fontId="3" fillId="0" borderId="26" xfId="13" applyNumberFormat="1" applyFont="1" applyBorder="1" applyAlignment="1">
      <alignment horizontal="center"/>
    </xf>
    <xf numFmtId="169" fontId="3" fillId="0" borderId="43" xfId="13" applyNumberFormat="1" applyFont="1" applyBorder="1" applyAlignment="1">
      <alignment horizontal="center"/>
    </xf>
    <xf numFmtId="0" fontId="30" fillId="4" borderId="5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7" xfId="0" applyFont="1" applyFill="1" applyBorder="1" applyAlignment="1">
      <alignment horizontal="center" vertical="center" wrapText="1"/>
    </xf>
    <xf numFmtId="0" fontId="8" fillId="4" borderId="61" xfId="5" applyFont="1" applyFill="1" applyBorder="1" applyAlignment="1">
      <alignment horizontal="center" vertical="center" wrapText="1"/>
    </xf>
    <xf numFmtId="0" fontId="8" fillId="4" borderId="62" xfId="5" applyFont="1" applyFill="1" applyBorder="1" applyAlignment="1">
      <alignment horizontal="center" vertical="center" wrapText="1"/>
    </xf>
    <xf numFmtId="0" fontId="8" fillId="4" borderId="63" xfId="5" applyFont="1" applyFill="1" applyBorder="1" applyAlignment="1">
      <alignment horizontal="center" vertical="center" wrapText="1"/>
    </xf>
    <xf numFmtId="0" fontId="8" fillId="0" borderId="56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8" fillId="0" borderId="57" xfId="5" applyFont="1" applyBorder="1" applyAlignment="1">
      <alignment horizontal="center"/>
    </xf>
    <xf numFmtId="0" fontId="8" fillId="4" borderId="80" xfId="5" applyFont="1" applyFill="1" applyBorder="1" applyAlignment="1">
      <alignment horizontal="center" vertical="justify"/>
    </xf>
    <xf numFmtId="0" fontId="8" fillId="4" borderId="2" xfId="5" applyFont="1" applyFill="1" applyBorder="1" applyAlignment="1">
      <alignment horizontal="center" vertical="justify"/>
    </xf>
    <xf numFmtId="0" fontId="8" fillId="0" borderId="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41" fillId="12" borderId="32" xfId="0" applyFont="1" applyFill="1" applyBorder="1" applyAlignment="1">
      <alignment horizontal="right" vertical="center" wrapText="1"/>
    </xf>
    <xf numFmtId="0" fontId="41" fillId="12" borderId="3" xfId="0" applyFont="1" applyFill="1" applyBorder="1" applyAlignment="1">
      <alignment horizontal="right" vertical="center" wrapText="1"/>
    </xf>
    <xf numFmtId="0" fontId="30" fillId="12" borderId="105" xfId="0" applyFont="1" applyFill="1" applyBorder="1" applyAlignment="1">
      <alignment horizontal="center" vertical="center" wrapText="1"/>
    </xf>
    <xf numFmtId="0" fontId="30" fillId="12" borderId="74" xfId="0" applyFont="1" applyFill="1" applyBorder="1" applyAlignment="1">
      <alignment horizontal="center" vertical="center" wrapText="1"/>
    </xf>
    <xf numFmtId="0" fontId="30" fillId="10" borderId="32" xfId="0" applyFont="1" applyFill="1" applyBorder="1" applyAlignment="1">
      <alignment horizontal="right" vertical="center"/>
    </xf>
    <xf numFmtId="0" fontId="30" fillId="10" borderId="3" xfId="0" applyFont="1" applyFill="1" applyBorder="1" applyAlignment="1">
      <alignment horizontal="right" vertical="center"/>
    </xf>
    <xf numFmtId="0" fontId="27" fillId="13" borderId="26" xfId="0" applyFont="1" applyFill="1" applyBorder="1" applyAlignment="1">
      <alignment horizontal="center" vertical="center"/>
    </xf>
    <xf numFmtId="0" fontId="27" fillId="13" borderId="43" xfId="0" applyFont="1" applyFill="1" applyBorder="1" applyAlignment="1">
      <alignment horizontal="center" vertical="center"/>
    </xf>
    <xf numFmtId="3" fontId="27" fillId="0" borderId="26" xfId="0" applyNumberFormat="1" applyFont="1" applyBorder="1" applyAlignment="1">
      <alignment horizontal="right" vertical="center"/>
    </xf>
    <xf numFmtId="3" fontId="27" fillId="0" borderId="43" xfId="0" applyNumberFormat="1" applyFont="1" applyBorder="1" applyAlignment="1">
      <alignment horizontal="right" vertical="center"/>
    </xf>
    <xf numFmtId="0" fontId="41" fillId="4" borderId="75" xfId="0" applyFont="1" applyFill="1" applyBorder="1" applyAlignment="1">
      <alignment horizontal="center" vertical="center" wrapText="1"/>
    </xf>
    <xf numFmtId="0" fontId="41" fillId="4" borderId="53" xfId="0" applyFont="1" applyFill="1" applyBorder="1" applyAlignment="1">
      <alignment horizontal="center" vertical="center" wrapText="1"/>
    </xf>
    <xf numFmtId="0" fontId="41" fillId="4" borderId="76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0" fillId="0" borderId="32" xfId="0" applyFont="1" applyFill="1" applyBorder="1" applyAlignment="1">
      <alignment horizontal="right" vertical="center"/>
    </xf>
    <xf numFmtId="0" fontId="30" fillId="0" borderId="3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10" borderId="75" xfId="0" applyFont="1" applyFill="1" applyBorder="1" applyAlignment="1">
      <alignment horizontal="right" vertical="center"/>
    </xf>
    <xf numFmtId="0" fontId="30" fillId="10" borderId="53" xfId="0" applyFont="1" applyFill="1" applyBorder="1" applyAlignment="1">
      <alignment horizontal="right" vertical="center"/>
    </xf>
    <xf numFmtId="0" fontId="30" fillId="10" borderId="43" xfId="0" applyFont="1" applyFill="1" applyBorder="1" applyAlignment="1">
      <alignment horizontal="right" vertical="center"/>
    </xf>
    <xf numFmtId="0" fontId="30" fillId="10" borderId="36" xfId="0" applyFont="1" applyFill="1" applyBorder="1" applyAlignment="1">
      <alignment horizontal="right" vertical="center"/>
    </xf>
    <xf numFmtId="0" fontId="30" fillId="10" borderId="37" xfId="0" applyFont="1" applyFill="1" applyBorder="1" applyAlignment="1">
      <alignment horizontal="right" vertical="center"/>
    </xf>
    <xf numFmtId="0" fontId="27" fillId="0" borderId="0" xfId="0" applyFont="1" applyAlignment="1">
      <alignment horizontal="justify" vertical="center" wrapText="1"/>
    </xf>
    <xf numFmtId="0" fontId="27" fillId="0" borderId="75" xfId="5" applyFont="1" applyBorder="1" applyAlignment="1">
      <alignment horizontal="center"/>
    </xf>
    <xf numFmtId="0" fontId="27" fillId="0" borderId="53" xfId="5" applyFont="1" applyBorder="1" applyAlignment="1">
      <alignment horizontal="center"/>
    </xf>
    <xf numFmtId="0" fontId="27" fillId="0" borderId="76" xfId="5" applyFont="1" applyBorder="1" applyAlignment="1">
      <alignment horizontal="center"/>
    </xf>
    <xf numFmtId="0" fontId="27" fillId="0" borderId="61" xfId="5" applyFont="1" applyBorder="1" applyAlignment="1">
      <alignment wrapText="1"/>
    </xf>
    <xf numFmtId="0" fontId="27" fillId="0" borderId="62" xfId="5" applyFont="1" applyBorder="1" applyAlignment="1">
      <alignment wrapText="1"/>
    </xf>
    <xf numFmtId="0" fontId="27" fillId="0" borderId="63" xfId="5" applyFont="1" applyBorder="1" applyAlignment="1">
      <alignment wrapText="1"/>
    </xf>
    <xf numFmtId="0" fontId="27" fillId="0" borderId="56" xfId="5" applyFont="1" applyBorder="1" applyAlignment="1">
      <alignment wrapText="1"/>
    </xf>
    <xf numFmtId="0" fontId="27" fillId="0" borderId="0" xfId="5" applyFont="1" applyBorder="1" applyAlignment="1">
      <alignment wrapText="1"/>
    </xf>
    <xf numFmtId="0" fontId="27" fillId="0" borderId="57" xfId="5" applyFont="1" applyBorder="1" applyAlignment="1">
      <alignment wrapText="1"/>
    </xf>
    <xf numFmtId="0" fontId="27" fillId="0" borderId="59" xfId="5" applyFont="1" applyBorder="1" applyAlignment="1">
      <alignment wrapText="1"/>
    </xf>
    <xf numFmtId="0" fontId="27" fillId="0" borderId="60" xfId="5" applyFont="1" applyBorder="1" applyAlignment="1">
      <alignment wrapText="1"/>
    </xf>
    <xf numFmtId="0" fontId="27" fillId="0" borderId="64" xfId="5" applyFont="1" applyBorder="1" applyAlignment="1">
      <alignment wrapText="1"/>
    </xf>
    <xf numFmtId="0" fontId="8" fillId="10" borderId="26" xfId="5" applyFont="1" applyFill="1" applyBorder="1" applyAlignment="1">
      <alignment horizontal="center"/>
    </xf>
    <xf numFmtId="0" fontId="8" fillId="10" borderId="53" xfId="5" applyFont="1" applyFill="1" applyBorder="1" applyAlignment="1">
      <alignment horizontal="center"/>
    </xf>
    <xf numFmtId="0" fontId="8" fillId="10" borderId="43" xfId="5" applyFont="1" applyFill="1" applyBorder="1" applyAlignment="1">
      <alignment horizontal="center"/>
    </xf>
    <xf numFmtId="0" fontId="8" fillId="10" borderId="26" xfId="5" applyFont="1" applyFill="1" applyBorder="1" applyAlignment="1">
      <alignment horizontal="right"/>
    </xf>
    <xf numFmtId="0" fontId="8" fillId="10" borderId="53" xfId="5" applyFont="1" applyFill="1" applyBorder="1" applyAlignment="1">
      <alignment horizontal="right"/>
    </xf>
    <xf numFmtId="0" fontId="8" fillId="10" borderId="43" xfId="5" applyFont="1" applyFill="1" applyBorder="1" applyAlignment="1">
      <alignment horizontal="right"/>
    </xf>
    <xf numFmtId="0" fontId="7" fillId="8" borderId="4" xfId="5" applyFont="1" applyFill="1" applyBorder="1" applyAlignment="1">
      <alignment horizontal="center"/>
    </xf>
    <xf numFmtId="0" fontId="7" fillId="8" borderId="5" xfId="5" applyFont="1" applyFill="1" applyBorder="1" applyAlignment="1">
      <alignment horizontal="center"/>
    </xf>
    <xf numFmtId="0" fontId="7" fillId="8" borderId="6" xfId="5" applyFont="1" applyFill="1" applyBorder="1" applyAlignment="1">
      <alignment horizontal="center"/>
    </xf>
    <xf numFmtId="0" fontId="30" fillId="12" borderId="75" xfId="5" applyFont="1" applyFill="1" applyBorder="1" applyAlignment="1">
      <alignment horizontal="left" vertical="center"/>
    </xf>
    <xf numFmtId="0" fontId="30" fillId="12" borderId="53" xfId="5" applyFont="1" applyFill="1" applyBorder="1" applyAlignment="1">
      <alignment horizontal="left" vertical="center"/>
    </xf>
    <xf numFmtId="0" fontId="30" fillId="12" borderId="76" xfId="5" applyFont="1" applyFill="1" applyBorder="1" applyAlignment="1">
      <alignment horizontal="left" vertical="center"/>
    </xf>
    <xf numFmtId="0" fontId="30" fillId="0" borderId="75" xfId="5" applyFont="1" applyBorder="1" applyAlignment="1">
      <alignment horizontal="center"/>
    </xf>
    <xf numFmtId="0" fontId="30" fillId="0" borderId="53" xfId="5" applyFont="1" applyBorder="1" applyAlignment="1">
      <alignment horizontal="center"/>
    </xf>
    <xf numFmtId="0" fontId="30" fillId="0" borderId="76" xfId="5" applyFont="1" applyBorder="1" applyAlignment="1">
      <alignment horizontal="center"/>
    </xf>
    <xf numFmtId="0" fontId="33" fillId="20" borderId="3" xfId="0" applyFont="1" applyFill="1" applyBorder="1" applyAlignment="1">
      <alignment horizontal="justify" vertical="center" wrapText="1"/>
    </xf>
  </cellXfs>
  <cellStyles count="20">
    <cellStyle name="Euro" xfId="15"/>
    <cellStyle name="Millares [0] 2" xfId="1"/>
    <cellStyle name="Millares [0] 3" xfId="13"/>
    <cellStyle name="Millares 3" xfId="14"/>
    <cellStyle name="Millares 6" xfId="2"/>
    <cellStyle name="Moneda" xfId="3" builtinId="4"/>
    <cellStyle name="Moneda 2" xfId="17"/>
    <cellStyle name="Normal" xfId="0" builtinId="0"/>
    <cellStyle name="Normal 10" xfId="4"/>
    <cellStyle name="Normal 2" xfId="5"/>
    <cellStyle name="Normal 2 10 2" xfId="6"/>
    <cellStyle name="Normal 3" xfId="7"/>
    <cellStyle name="Normal 3 2" xfId="8"/>
    <cellStyle name="Normal 4" xfId="9"/>
    <cellStyle name="Normal 5" xfId="12"/>
    <cellStyle name="Normal_Hoja1" xfId="19"/>
    <cellStyle name="Porcentaje" xfId="10" builtinId="5"/>
    <cellStyle name="Porcentaje 2" xfId="11"/>
    <cellStyle name="Porcentaje 2 2" xfId="16"/>
    <cellStyle name="Porcentaje 2 3" xfId="18"/>
  </cellStyles>
  <dxfs count="0"/>
  <tableStyles count="0" defaultTableStyle="TableStyleMedium9" defaultPivotStyle="PivotStyleLight16"/>
  <colors>
    <mruColors>
      <color rgb="FFF0F44A"/>
      <color rgb="FFE38DB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63746</xdr:colOff>
      <xdr:row>2</xdr:row>
      <xdr:rowOff>175847</xdr:rowOff>
    </xdr:from>
    <xdr:to>
      <xdr:col>0</xdr:col>
      <xdr:colOff>693062</xdr:colOff>
      <xdr:row>6</xdr:row>
      <xdr:rowOff>80596</xdr:rowOff>
    </xdr:to>
    <xdr:pic>
      <xdr:nvPicPr>
        <xdr:cNvPr id="87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6" y="175847"/>
          <a:ext cx="629316" cy="60813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63746</xdr:colOff>
      <xdr:row>2</xdr:row>
      <xdr:rowOff>175847</xdr:rowOff>
    </xdr:from>
    <xdr:to>
      <xdr:col>0</xdr:col>
      <xdr:colOff>693062</xdr:colOff>
      <xdr:row>6</xdr:row>
      <xdr:rowOff>80596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6" y="718772"/>
          <a:ext cx="629316" cy="609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</xdr:col>
      <xdr:colOff>190500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"/>
          <a:ext cx="53340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NICA2/AppData/Local/Temp/Temp1_Outlook.com%20(1).zip/PPTO%20PROCESOS%20T&#201;CNICOS%20nuevo/INTERVENTO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CNICA2\AppData\Local\Temp\Temp1_Outlook.com%20(1).zip\PPTO%20PROCESOS%20T&#201;CNICOS%20nuevo\INTERVEN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 refreshError="1"/>
      <sheetData sheetId="1" refreshError="1"/>
      <sheetData sheetId="2" refreshError="1">
        <row r="49">
          <cell r="E49">
            <v>0.10600000000000001</v>
          </cell>
        </row>
      </sheetData>
      <sheetData sheetId="3" refreshError="1"/>
      <sheetData sheetId="4" refreshError="1">
        <row r="2">
          <cell r="A2" t="str">
            <v>C1</v>
          </cell>
        </row>
        <row r="3">
          <cell r="A3" t="str">
            <v>C2</v>
          </cell>
        </row>
        <row r="4">
          <cell r="A4" t="str">
            <v>M</v>
          </cell>
        </row>
      </sheetData>
      <sheetData sheetId="5" refreshError="1">
        <row r="2">
          <cell r="A2" t="str">
            <v>A</v>
          </cell>
        </row>
        <row r="3">
          <cell r="A3" t="str">
            <v>AA</v>
          </cell>
        </row>
        <row r="4">
          <cell r="A4" t="str">
            <v>S1</v>
          </cell>
        </row>
        <row r="5">
          <cell r="A5" t="str">
            <v>S2</v>
          </cell>
        </row>
      </sheetData>
      <sheetData sheetId="6" refreshError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</sheetData>
      <sheetData sheetId="7" refreshError="1">
        <row r="2">
          <cell r="A2" t="str">
            <v>TAI</v>
          </cell>
        </row>
        <row r="3">
          <cell r="A3" t="str">
            <v>AI</v>
          </cell>
        </row>
        <row r="4">
          <cell r="A4" t="str">
            <v>D1</v>
          </cell>
        </row>
        <row r="5">
          <cell r="A5" t="str">
            <v>D2</v>
          </cell>
        </row>
        <row r="6">
          <cell r="A6" t="str">
            <v>TI</v>
          </cell>
        </row>
        <row r="7">
          <cell r="A7" t="str">
            <v>TA</v>
          </cell>
        </row>
        <row r="8">
          <cell r="A8" t="str">
            <v>BI</v>
          </cell>
        </row>
        <row r="9">
          <cell r="A9" t="str">
            <v>BA</v>
          </cell>
        </row>
        <row r="10">
          <cell r="A10" t="str">
            <v>LI</v>
          </cell>
        </row>
        <row r="11">
          <cell r="A11" t="str">
            <v>LA</v>
          </cell>
        </row>
        <row r="12">
          <cell r="A12" t="str">
            <v>OE</v>
          </cell>
        </row>
        <row r="13">
          <cell r="A13" t="str">
            <v>OAE</v>
          </cell>
        </row>
        <row r="14">
          <cell r="A14" t="str">
            <v>I1</v>
          </cell>
        </row>
        <row r="15">
          <cell r="A15" t="str">
            <v>I2</v>
          </cell>
        </row>
      </sheetData>
      <sheetData sheetId="8" refreshError="1"/>
      <sheetData sheetId="9" refreshError="1"/>
      <sheetData sheetId="10" refreshError="1">
        <row r="1">
          <cell r="A1" t="str">
            <v>TIPO</v>
          </cell>
        </row>
        <row r="2">
          <cell r="A2" t="str">
            <v>Campero, Pick-Up, Camioneta, Camión o similar.(1300-2000) $/Día-8horas</v>
          </cell>
        </row>
        <row r="3">
          <cell r="A3" t="str">
            <v>Campero, Pick-Up, Camioneta, Camión o similar.(1300-2000)$/mes</v>
          </cell>
        </row>
        <row r="4">
          <cell r="A4" t="str">
            <v>Campero, Pick-Up, Camioneta, Camión o similar.(&gt;2000)$/Día -8 horas</v>
          </cell>
        </row>
        <row r="5">
          <cell r="A5" t="str">
            <v>Campero, Pick-Up, Camioneta, Camión o similar.(&gt;2000)$/Mes</v>
          </cell>
        </row>
        <row r="6">
          <cell r="A6" t="str">
            <v>Vehiculos con capacidad de carga de 3 Ton o más($/Día-8 Horas</v>
          </cell>
        </row>
        <row r="7">
          <cell r="A7" t="str">
            <v>Vehiculos con capacidad de carga de 3 Ton o más ($/Mes)</v>
          </cell>
        </row>
      </sheetData>
      <sheetData sheetId="11" refreshError="1"/>
      <sheetData sheetId="12" refreshError="1">
        <row r="2">
          <cell r="B2" t="str">
            <v>ENSAYOS DE LABORATORIO SUB-RASANTE-MATERIAL SUB-BASE</v>
          </cell>
        </row>
        <row r="3">
          <cell r="B3" t="str">
            <v>Analisis granulométrico con lavado hasta el tamiz No 200</v>
          </cell>
        </row>
        <row r="4">
          <cell r="B4" t="str">
            <v>Caras Fracturadas</v>
          </cell>
        </row>
        <row r="5">
          <cell r="B5" t="str">
            <v>CBR material granular- Metodo I (3 Puntos)</v>
          </cell>
        </row>
        <row r="6">
          <cell r="B6" t="str">
            <v>Compactación modificada</v>
          </cell>
        </row>
        <row r="7">
          <cell r="B7" t="str">
            <v>Contenido de materia organica</v>
          </cell>
        </row>
        <row r="8">
          <cell r="B8" t="str">
            <v>Densidades de campo</v>
          </cell>
        </row>
        <row r="9">
          <cell r="B9" t="str">
            <v>Desgaste en la Maq de los Angeles</v>
          </cell>
        </row>
        <row r="10">
          <cell r="B10" t="str">
            <v>Equivalente de arena</v>
          </cell>
        </row>
        <row r="11">
          <cell r="B11" t="str">
            <v>Humedad natural</v>
          </cell>
        </row>
        <row r="12">
          <cell r="B12" t="str">
            <v>Indice de Aplanamiento y Alargamiento</v>
          </cell>
        </row>
        <row r="13">
          <cell r="B13" t="str">
            <v>Limites de atterberg</v>
          </cell>
        </row>
        <row r="14">
          <cell r="B14" t="str">
            <v>Solidez (5 ciclos)</v>
          </cell>
        </row>
        <row r="15">
          <cell r="B15" t="str">
            <v>Toma de muestra inalterada en el terreno (por punto)</v>
          </cell>
        </row>
        <row r="16">
          <cell r="B16" t="str">
            <v>ENSAYOS CONTROL DE CALIDAD MEZCLA DENSA EN FRIO</v>
          </cell>
        </row>
        <row r="17">
          <cell r="B17" t="str">
            <v>Contenido de asfalto residual y granulometria de la extracción</v>
          </cell>
        </row>
        <row r="18">
          <cell r="B18" t="str">
            <v>Ensayo de Cobertura de los agregados de la mezcla</v>
          </cell>
        </row>
        <row r="19">
          <cell r="B19" t="str">
            <v>Humedad de la mezcla</v>
          </cell>
        </row>
        <row r="20">
          <cell r="B20" t="str">
            <v>Inmersión-Comprensión (resistencia conservada)</v>
          </cell>
        </row>
        <row r="21">
          <cell r="B21" t="str">
            <v>ENSAYOS CONTROL CALIDAD MEZCLA DENSA EN CALIENTE</v>
          </cell>
        </row>
        <row r="22">
          <cell r="B22" t="str">
            <v>Contenido de asfalto residual y granulometria de la extracción</v>
          </cell>
        </row>
        <row r="23">
          <cell r="B23" t="str">
            <v>Densidad, Estabilidad y Flujo</v>
          </cell>
        </row>
        <row r="24">
          <cell r="B24" t="str">
            <v>Temperatura</v>
          </cell>
        </row>
        <row r="25">
          <cell r="B25" t="str">
            <v>Toma de briquetas</v>
          </cell>
        </row>
        <row r="26">
          <cell r="B26" t="str">
            <v>CONTROL DE CALIDAD DE EMULSIONES ASFALTICAS CRL-1</v>
          </cell>
        </row>
        <row r="27">
          <cell r="B27" t="str">
            <v>Asentamiento</v>
          </cell>
        </row>
        <row r="28">
          <cell r="B28" t="str">
            <v>Contenido de Agua</v>
          </cell>
        </row>
        <row r="29">
          <cell r="B29" t="str">
            <v>PH</v>
          </cell>
        </row>
        <row r="30">
          <cell r="B30" t="str">
            <v>Retenido en Malla No 20</v>
          </cell>
        </row>
        <row r="31">
          <cell r="B31" t="str">
            <v>Viscosidad a 25 °C Saybolt-furol</v>
          </cell>
        </row>
        <row r="32">
          <cell r="B32" t="str">
            <v>DISEÑO DE MEZCLA DENSA EN FRIO ARTICULO 441</v>
          </cell>
        </row>
        <row r="33">
          <cell r="B33" t="str">
            <v>Ajustes de diseño y correcciones</v>
          </cell>
        </row>
        <row r="34">
          <cell r="B34" t="str">
            <v>Diseño de mezcla densa en frio incluye ensayos</v>
          </cell>
        </row>
        <row r="35">
          <cell r="B35" t="str">
            <v>DISEÑO DE MEZCLA CONCRETOS</v>
          </cell>
        </row>
        <row r="36">
          <cell r="B36" t="str">
            <v>Resistencia a la compresión de muestras Concreto (mayor número de  muestras)</v>
          </cell>
        </row>
        <row r="37">
          <cell r="B37" t="str">
            <v>Resistencia a la compresión de muestras Concreto  (menor número de muestras)</v>
          </cell>
        </row>
        <row r="38">
          <cell r="B38" t="str">
            <v>Resistencia a laflexión de muestras de Concreto</v>
          </cell>
        </row>
        <row r="39">
          <cell r="B39" t="str">
            <v>Asentamiento del concreto (Slump)</v>
          </cell>
        </row>
        <row r="40">
          <cell r="B40" t="str">
            <v>EQUIPOS TOMA DE MUESTRAS CONCRETO</v>
          </cell>
        </row>
        <row r="41">
          <cell r="B41" t="str">
            <v>Alquiler de camisa cilíndrica (8 horas)</v>
          </cell>
        </row>
        <row r="42">
          <cell r="B42" t="str">
            <v>Alquiler de formaleta para vigueta de concreto  (8 horas)</v>
          </cell>
        </row>
        <row r="43">
          <cell r="B43" t="str">
            <v>Alquiler de cono para medir asentamiento (Slump)  (8 horas)</v>
          </cell>
        </row>
        <row r="44">
          <cell r="B44" t="str">
            <v>Alquiler de varilla compactadora  (8 horas)</v>
          </cell>
        </row>
        <row r="45">
          <cell r="B45" t="str">
            <v>Pruebas de conectividad y alcance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TERVENTORIA"/>
      <sheetName val="FM"/>
      <sheetName val="GASTO"/>
      <sheetName val="AUXILIARTEC"/>
      <sheetName val="PERSOADMIN"/>
      <sheetName val="DIRECTVOS"/>
      <sheetName val="PERSTECNI"/>
      <sheetName val="SAL"/>
      <sheetName val="DEPRE"/>
      <sheetName val="TRANS"/>
      <sheetName val="Hoja6"/>
      <sheetName val="ENS"/>
    </sheetNames>
    <sheetDataSet>
      <sheetData sheetId="0" refreshError="1"/>
      <sheetData sheetId="1" refreshError="1">
        <row r="8">
          <cell r="L8">
            <v>15995898</v>
          </cell>
        </row>
      </sheetData>
      <sheetData sheetId="2" refreshError="1"/>
      <sheetData sheetId="3" refreshError="1">
        <row r="2">
          <cell r="E2">
            <v>4974444.444444445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N40"/>
  <sheetViews>
    <sheetView zoomScaleNormal="100" workbookViewId="0">
      <pane ySplit="2" topLeftCell="A33" activePane="bottomLeft" state="frozen"/>
      <selection activeCell="B1" sqref="B1"/>
      <selection pane="bottomLeft" activeCell="A34" sqref="A34:XFD34"/>
    </sheetView>
  </sheetViews>
  <sheetFormatPr baseColWidth="10" defaultColWidth="11" defaultRowHeight="12.75" x14ac:dyDescent="0.25"/>
  <cols>
    <col min="1" max="1" width="4.42578125" style="538" customWidth="1"/>
    <col min="2" max="2" width="33" style="1" customWidth="1"/>
    <col min="3" max="3" width="8.42578125" style="1" customWidth="1"/>
    <col min="4" max="4" width="6.42578125" style="1" customWidth="1"/>
    <col min="5" max="5" width="8.140625" style="2" customWidth="1"/>
    <col min="6" max="6" width="11.140625" style="3" customWidth="1"/>
    <col min="7" max="7" width="11.7109375" style="1" customWidth="1"/>
    <col min="8" max="8" width="8.28515625" style="1" customWidth="1"/>
    <col min="9" max="9" width="7" style="1" customWidth="1"/>
    <col min="10" max="10" width="8.7109375" style="2" customWidth="1"/>
    <col min="11" max="11" width="10.85546875" style="3" customWidth="1"/>
    <col min="12" max="12" width="11.42578125" style="1" customWidth="1"/>
    <col min="13" max="13" width="14.28515625" style="1" customWidth="1"/>
    <col min="14" max="16384" width="11" style="1"/>
  </cols>
  <sheetData>
    <row r="1" spans="1:14" ht="19.5" x14ac:dyDescent="0.25">
      <c r="A1" s="616" t="s">
        <v>348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4" ht="18" customHeight="1" x14ac:dyDescent="0.25">
      <c r="A2" s="617" t="s">
        <v>449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4" ht="16.5" customHeight="1" x14ac:dyDescent="0.25">
      <c r="A3" s="618" t="s">
        <v>323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4" spans="1:14" s="7" customFormat="1" ht="16.5" customHeight="1" x14ac:dyDescent="0.25">
      <c r="A4" s="618" t="s">
        <v>324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</row>
    <row r="5" spans="1:14" s="7" customFormat="1" ht="16.5" customHeight="1" x14ac:dyDescent="0.25">
      <c r="A5" s="618" t="s">
        <v>325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</row>
    <row r="6" spans="1:14" s="8" customFormat="1" ht="15" customHeight="1" x14ac:dyDescent="0.25">
      <c r="A6" s="611" t="s">
        <v>349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</row>
    <row r="7" spans="1:14" s="80" customFormat="1" ht="13.5" customHeight="1" x14ac:dyDescent="0.25">
      <c r="A7" s="612" t="s">
        <v>350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331"/>
      <c r="N7" s="8"/>
    </row>
    <row r="8" spans="1:14" s="8" customFormat="1" ht="15" x14ac:dyDescent="0.25">
      <c r="A8" s="613" t="s">
        <v>442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14" s="8" customFormat="1" ht="15" x14ac:dyDescent="0.25">
      <c r="A9" s="600"/>
      <c r="B9" s="602"/>
      <c r="C9" s="600" t="s">
        <v>445</v>
      </c>
      <c r="D9" s="601"/>
      <c r="E9" s="601"/>
      <c r="F9" s="601"/>
      <c r="G9" s="602"/>
      <c r="H9" s="600" t="s">
        <v>446</v>
      </c>
      <c r="I9" s="601"/>
      <c r="J9" s="601"/>
      <c r="K9" s="601"/>
      <c r="L9" s="602"/>
    </row>
    <row r="10" spans="1:14" ht="33.75" x14ac:dyDescent="0.25">
      <c r="A10" s="589" t="s">
        <v>5</v>
      </c>
      <c r="B10" s="589" t="s">
        <v>9</v>
      </c>
      <c r="C10" s="589" t="s">
        <v>7</v>
      </c>
      <c r="D10" s="589" t="s">
        <v>221</v>
      </c>
      <c r="E10" s="358" t="s">
        <v>0</v>
      </c>
      <c r="F10" s="359" t="s">
        <v>1</v>
      </c>
      <c r="G10" s="598" t="s">
        <v>447</v>
      </c>
      <c r="H10" s="589" t="s">
        <v>7</v>
      </c>
      <c r="I10" s="589" t="s">
        <v>221</v>
      </c>
      <c r="J10" s="358" t="s">
        <v>0</v>
      </c>
      <c r="K10" s="359" t="s">
        <v>1</v>
      </c>
      <c r="L10" s="598" t="s">
        <v>448</v>
      </c>
      <c r="M10" s="7"/>
      <c r="N10" s="7"/>
    </row>
    <row r="11" spans="1:14" s="7" customFormat="1" ht="56.25" x14ac:dyDescent="0.25">
      <c r="A11" s="591">
        <v>1</v>
      </c>
      <c r="B11" s="306" t="s">
        <v>438</v>
      </c>
      <c r="C11" s="41" t="s">
        <v>207</v>
      </c>
      <c r="D11" s="41">
        <v>3</v>
      </c>
      <c r="E11" s="348">
        <v>1</v>
      </c>
      <c r="F11" s="569">
        <v>3200000</v>
      </c>
      <c r="G11" s="569">
        <f>D11*E11*F11</f>
        <v>9600000</v>
      </c>
      <c r="H11" s="41" t="s">
        <v>207</v>
      </c>
      <c r="I11" s="41">
        <v>6</v>
      </c>
      <c r="J11" s="348">
        <v>1</v>
      </c>
      <c r="K11" s="415">
        <v>5000000</v>
      </c>
      <c r="L11" s="415">
        <f>I11*J11*K11</f>
        <v>30000000</v>
      </c>
      <c r="M11" s="541"/>
    </row>
    <row r="12" spans="1:14" s="8" customFormat="1" ht="15" x14ac:dyDescent="0.25">
      <c r="A12" s="613" t="s">
        <v>443</v>
      </c>
      <c r="B12" s="613"/>
      <c r="C12" s="613"/>
      <c r="D12" s="613"/>
      <c r="E12" s="613"/>
      <c r="F12" s="613"/>
      <c r="G12" s="613"/>
      <c r="H12" s="613"/>
      <c r="I12" s="613"/>
      <c r="J12" s="613"/>
      <c r="K12" s="613"/>
      <c r="L12" s="613"/>
    </row>
    <row r="13" spans="1:14" s="8" customFormat="1" ht="15" x14ac:dyDescent="0.25">
      <c r="A13" s="600"/>
      <c r="B13" s="602"/>
      <c r="C13" s="600" t="s">
        <v>445</v>
      </c>
      <c r="D13" s="601"/>
      <c r="E13" s="601"/>
      <c r="F13" s="601"/>
      <c r="G13" s="602"/>
      <c r="H13" s="600" t="s">
        <v>446</v>
      </c>
      <c r="I13" s="601"/>
      <c r="J13" s="601"/>
      <c r="K13" s="601"/>
      <c r="L13" s="602"/>
    </row>
    <row r="14" spans="1:14" ht="33.75" x14ac:dyDescent="0.25">
      <c r="A14" s="589" t="s">
        <v>5</v>
      </c>
      <c r="B14" s="589" t="s">
        <v>9</v>
      </c>
      <c r="C14" s="589" t="s">
        <v>7</v>
      </c>
      <c r="D14" s="589" t="s">
        <v>221</v>
      </c>
      <c r="E14" s="358" t="s">
        <v>0</v>
      </c>
      <c r="F14" s="359" t="s">
        <v>1</v>
      </c>
      <c r="G14" s="598" t="s">
        <v>447</v>
      </c>
      <c r="H14" s="589" t="s">
        <v>7</v>
      </c>
      <c r="I14" s="589" t="s">
        <v>221</v>
      </c>
      <c r="J14" s="358" t="s">
        <v>0</v>
      </c>
      <c r="K14" s="359" t="s">
        <v>1</v>
      </c>
      <c r="L14" s="598" t="s">
        <v>448</v>
      </c>
      <c r="M14" s="7"/>
      <c r="N14" s="7"/>
    </row>
    <row r="15" spans="1:14" s="7" customFormat="1" ht="22.5" x14ac:dyDescent="0.25">
      <c r="A15" s="619">
        <v>2</v>
      </c>
      <c r="B15" s="306" t="s">
        <v>439</v>
      </c>
      <c r="C15" s="41" t="s">
        <v>207</v>
      </c>
      <c r="D15" s="41">
        <v>3</v>
      </c>
      <c r="E15" s="348">
        <v>2</v>
      </c>
      <c r="F15" s="569">
        <v>2500000</v>
      </c>
      <c r="G15" s="569">
        <f>D15*E15*F15</f>
        <v>15000000</v>
      </c>
      <c r="H15" s="603" t="s">
        <v>207</v>
      </c>
      <c r="I15" s="603">
        <v>6</v>
      </c>
      <c r="J15" s="605">
        <v>4</v>
      </c>
      <c r="K15" s="607">
        <v>2500000</v>
      </c>
      <c r="L15" s="607">
        <f>I15*J15*K15</f>
        <v>60000000</v>
      </c>
      <c r="M15" s="541"/>
    </row>
    <row r="16" spans="1:14" s="7" customFormat="1" ht="33.75" x14ac:dyDescent="0.25">
      <c r="A16" s="620"/>
      <c r="B16" s="306" t="s">
        <v>440</v>
      </c>
      <c r="C16" s="41" t="s">
        <v>207</v>
      </c>
      <c r="D16" s="571">
        <v>3.4</v>
      </c>
      <c r="E16" s="572">
        <v>2</v>
      </c>
      <c r="F16" s="569">
        <v>2500000</v>
      </c>
      <c r="G16" s="569">
        <f>D16*E16*F16</f>
        <v>17000000</v>
      </c>
      <c r="H16" s="604"/>
      <c r="I16" s="604"/>
      <c r="J16" s="606"/>
      <c r="K16" s="608"/>
      <c r="L16" s="608"/>
      <c r="M16" s="541"/>
    </row>
    <row r="17" spans="1:14" s="8" customFormat="1" ht="15" x14ac:dyDescent="0.25">
      <c r="A17" s="613" t="s">
        <v>444</v>
      </c>
      <c r="B17" s="613"/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597"/>
    </row>
    <row r="18" spans="1:14" s="8" customFormat="1" ht="15" x14ac:dyDescent="0.25">
      <c r="A18" s="600"/>
      <c r="B18" s="602"/>
      <c r="C18" s="600" t="s">
        <v>445</v>
      </c>
      <c r="D18" s="601"/>
      <c r="E18" s="601"/>
      <c r="F18" s="601"/>
      <c r="G18" s="602"/>
      <c r="H18" s="600" t="s">
        <v>446</v>
      </c>
      <c r="I18" s="601"/>
      <c r="J18" s="601"/>
      <c r="K18" s="601"/>
      <c r="L18" s="602"/>
    </row>
    <row r="19" spans="1:14" ht="33.75" x14ac:dyDescent="0.25">
      <c r="A19" s="589" t="s">
        <v>5</v>
      </c>
      <c r="B19" s="589" t="s">
        <v>9</v>
      </c>
      <c r="C19" s="589" t="s">
        <v>7</v>
      </c>
      <c r="D19" s="589" t="s">
        <v>221</v>
      </c>
      <c r="E19" s="358" t="s">
        <v>0</v>
      </c>
      <c r="F19" s="359" t="s">
        <v>1</v>
      </c>
      <c r="G19" s="598" t="s">
        <v>447</v>
      </c>
      <c r="H19" s="589" t="s">
        <v>7</v>
      </c>
      <c r="I19" s="589" t="s">
        <v>221</v>
      </c>
      <c r="J19" s="358" t="s">
        <v>0</v>
      </c>
      <c r="K19" s="359" t="s">
        <v>1</v>
      </c>
      <c r="L19" s="598" t="s">
        <v>448</v>
      </c>
      <c r="M19" s="7"/>
      <c r="N19" s="7"/>
    </row>
    <row r="20" spans="1:14" s="7" customFormat="1" ht="22.5" x14ac:dyDescent="0.25">
      <c r="A20" s="591">
        <v>3</v>
      </c>
      <c r="B20" s="306" t="s">
        <v>437</v>
      </c>
      <c r="C20" s="41" t="s">
        <v>13</v>
      </c>
      <c r="D20" s="41">
        <v>1</v>
      </c>
      <c r="E20" s="348">
        <v>1</v>
      </c>
      <c r="F20" s="569">
        <v>18700012</v>
      </c>
      <c r="G20" s="569">
        <f>D20*E20*F20</f>
        <v>18700012</v>
      </c>
      <c r="H20" s="41" t="s">
        <v>13</v>
      </c>
      <c r="I20" s="41">
        <v>1</v>
      </c>
      <c r="J20" s="348">
        <v>1</v>
      </c>
      <c r="K20" s="415">
        <v>20000000</v>
      </c>
      <c r="L20" s="415">
        <f>K20</f>
        <v>20000000</v>
      </c>
      <c r="M20" s="541"/>
    </row>
    <row r="21" spans="1:14" s="352" customFormat="1" x14ac:dyDescent="0.25">
      <c r="A21" s="614" t="s">
        <v>10</v>
      </c>
      <c r="B21" s="614"/>
      <c r="C21" s="614"/>
      <c r="D21" s="614"/>
      <c r="E21" s="614"/>
      <c r="F21" s="614"/>
      <c r="G21" s="350">
        <f>ROUND(SUM(G11:G20),0)</f>
        <v>60300012</v>
      </c>
      <c r="H21" s="615" t="s">
        <v>10</v>
      </c>
      <c r="I21" s="615"/>
      <c r="J21" s="615"/>
      <c r="K21" s="615"/>
      <c r="L21" s="350">
        <f>ROUND(SUM(L11:L20),0)</f>
        <v>110000000</v>
      </c>
      <c r="M21" s="351"/>
      <c r="N21" s="351"/>
    </row>
    <row r="22" spans="1:14" s="8" customFormat="1" ht="15.75" x14ac:dyDescent="0.25">
      <c r="A22" s="611" t="s">
        <v>351</v>
      </c>
      <c r="B22" s="611"/>
      <c r="C22" s="611"/>
      <c r="D22" s="611"/>
      <c r="E22" s="611"/>
      <c r="F22" s="611"/>
      <c r="G22" s="611"/>
      <c r="H22" s="611"/>
      <c r="I22" s="611"/>
      <c r="J22" s="611"/>
      <c r="K22" s="611"/>
      <c r="L22" s="611"/>
    </row>
    <row r="23" spans="1:14" s="80" customFormat="1" x14ac:dyDescent="0.25">
      <c r="A23" s="612" t="s">
        <v>352</v>
      </c>
      <c r="B23" s="612"/>
      <c r="C23" s="612"/>
      <c r="D23" s="612"/>
      <c r="E23" s="612"/>
      <c r="F23" s="612"/>
      <c r="G23" s="612"/>
      <c r="H23" s="612"/>
      <c r="I23" s="612"/>
      <c r="J23" s="612"/>
      <c r="K23" s="612"/>
      <c r="L23" s="612"/>
      <c r="M23" s="331"/>
      <c r="N23" s="8"/>
    </row>
    <row r="24" spans="1:14" s="8" customFormat="1" ht="15" x14ac:dyDescent="0.25">
      <c r="A24" s="613" t="s">
        <v>444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597"/>
    </row>
    <row r="25" spans="1:14" s="8" customFormat="1" ht="15" x14ac:dyDescent="0.25">
      <c r="A25" s="600"/>
      <c r="B25" s="602"/>
      <c r="C25" s="600" t="s">
        <v>445</v>
      </c>
      <c r="D25" s="601"/>
      <c r="E25" s="601"/>
      <c r="F25" s="601"/>
      <c r="G25" s="602"/>
      <c r="H25" s="600" t="s">
        <v>446</v>
      </c>
      <c r="I25" s="601"/>
      <c r="J25" s="601"/>
      <c r="K25" s="601"/>
      <c r="L25" s="602"/>
    </row>
    <row r="26" spans="1:14" ht="33.75" x14ac:dyDescent="0.25">
      <c r="A26" s="589" t="s">
        <v>5</v>
      </c>
      <c r="B26" s="589" t="s">
        <v>9</v>
      </c>
      <c r="C26" s="589" t="s">
        <v>7</v>
      </c>
      <c r="D26" s="589" t="s">
        <v>221</v>
      </c>
      <c r="E26" s="358" t="s">
        <v>0</v>
      </c>
      <c r="F26" s="359" t="s">
        <v>1</v>
      </c>
      <c r="G26" s="598" t="s">
        <v>447</v>
      </c>
      <c r="H26" s="589" t="s">
        <v>7</v>
      </c>
      <c r="I26" s="589" t="s">
        <v>221</v>
      </c>
      <c r="J26" s="358" t="s">
        <v>0</v>
      </c>
      <c r="K26" s="359" t="s">
        <v>1</v>
      </c>
      <c r="L26" s="598" t="s">
        <v>448</v>
      </c>
      <c r="M26" s="7"/>
      <c r="N26" s="7"/>
    </row>
    <row r="27" spans="1:14" s="7" customFormat="1" ht="33.75" x14ac:dyDescent="0.25">
      <c r="A27" s="591">
        <v>4</v>
      </c>
      <c r="B27" s="590" t="s">
        <v>327</v>
      </c>
      <c r="C27" s="41" t="s">
        <v>13</v>
      </c>
      <c r="D27" s="41">
        <v>2</v>
      </c>
      <c r="E27" s="348">
        <v>1</v>
      </c>
      <c r="F27" s="569">
        <v>269783584</v>
      </c>
      <c r="G27" s="569">
        <f>E27*F27</f>
        <v>269783584</v>
      </c>
      <c r="H27" s="41" t="s">
        <v>13</v>
      </c>
      <c r="I27" s="41">
        <v>2</v>
      </c>
      <c r="J27" s="348">
        <v>1</v>
      </c>
      <c r="K27" s="416">
        <v>482440000</v>
      </c>
      <c r="L27" s="416">
        <f>J27*K27</f>
        <v>482440000</v>
      </c>
    </row>
    <row r="28" spans="1:14" s="7" customFormat="1" ht="33.75" x14ac:dyDescent="0.25">
      <c r="A28" s="592">
        <v>5</v>
      </c>
      <c r="B28" s="590" t="s">
        <v>328</v>
      </c>
      <c r="C28" s="41" t="s">
        <v>13</v>
      </c>
      <c r="D28" s="41">
        <v>2</v>
      </c>
      <c r="E28" s="73">
        <v>1</v>
      </c>
      <c r="F28" s="575">
        <v>20470638</v>
      </c>
      <c r="G28" s="575">
        <f>E28*F28</f>
        <v>20470638</v>
      </c>
      <c r="H28" s="41" t="s">
        <v>13</v>
      </c>
      <c r="I28" s="41">
        <v>2</v>
      </c>
      <c r="J28" s="348">
        <v>1</v>
      </c>
      <c r="K28" s="416">
        <v>62943624.200000003</v>
      </c>
      <c r="L28" s="416">
        <f>J28*K28</f>
        <v>62943624.200000003</v>
      </c>
    </row>
    <row r="29" spans="1:14" s="352" customFormat="1" x14ac:dyDescent="0.25">
      <c r="A29" s="614" t="s">
        <v>10</v>
      </c>
      <c r="B29" s="614"/>
      <c r="C29" s="614"/>
      <c r="D29" s="614"/>
      <c r="E29" s="614"/>
      <c r="F29" s="614"/>
      <c r="G29" s="350">
        <f>ROUND(SUM(G27:G28),0)</f>
        <v>290254222</v>
      </c>
      <c r="H29" s="615" t="s">
        <v>10</v>
      </c>
      <c r="I29" s="615"/>
      <c r="J29" s="615"/>
      <c r="K29" s="615"/>
      <c r="L29" s="350">
        <f>ROUND(SUM(L27:L28),0)</f>
        <v>545383624</v>
      </c>
      <c r="M29" s="351"/>
    </row>
    <row r="30" spans="1:14" ht="15.75" x14ac:dyDescent="0.25">
      <c r="A30" s="609" t="s">
        <v>447</v>
      </c>
      <c r="B30" s="609"/>
      <c r="C30" s="609"/>
      <c r="D30" s="609"/>
      <c r="E30" s="609"/>
      <c r="F30" s="609"/>
      <c r="G30" s="599">
        <f>G21+G29</f>
        <v>350554234</v>
      </c>
      <c r="H30" s="610" t="s">
        <v>448</v>
      </c>
      <c r="I30" s="610"/>
      <c r="J30" s="610"/>
      <c r="K30" s="610"/>
      <c r="L30" s="599">
        <f>L21+L29</f>
        <v>655383624</v>
      </c>
    </row>
    <row r="31" spans="1:14" ht="22.5" customHeight="1" x14ac:dyDescent="0.25">
      <c r="A31" s="127"/>
      <c r="B31" s="127"/>
      <c r="C31" s="127"/>
      <c r="D31" s="127"/>
      <c r="E31" s="127"/>
      <c r="F31" s="127"/>
      <c r="G31" s="126"/>
      <c r="H31" s="127"/>
      <c r="I31" s="127"/>
      <c r="J31" s="127"/>
      <c r="K31" s="127"/>
      <c r="L31" s="126"/>
    </row>
    <row r="32" spans="1:14" ht="12" customHeight="1" x14ac:dyDescent="0.25">
      <c r="G32" s="116" t="e">
        <f>#REF!+#REF!+#REF!+#REF!+#REF!</f>
        <v>#REF!</v>
      </c>
      <c r="H32" s="313"/>
      <c r="J32" s="314" t="s">
        <v>305</v>
      </c>
      <c r="K32" s="315" t="e">
        <f>#REF!+#REF!</f>
        <v>#REF!</v>
      </c>
    </row>
    <row r="33" spans="2:11" ht="12" customHeight="1" x14ac:dyDescent="0.25">
      <c r="G33" s="317">
        <v>1025238397</v>
      </c>
      <c r="H33" s="316" t="s">
        <v>303</v>
      </c>
      <c r="J33" s="314" t="s">
        <v>304</v>
      </c>
      <c r="K33" s="315" t="e">
        <f>#REF!+#REF!+#REF!+#REF!</f>
        <v>#REF!</v>
      </c>
    </row>
    <row r="34" spans="2:11" ht="95.25" customHeight="1" x14ac:dyDescent="0.25">
      <c r="F34" s="320" t="s">
        <v>420</v>
      </c>
      <c r="G34" s="124"/>
    </row>
    <row r="35" spans="2:11" ht="15.75" customHeight="1" x14ac:dyDescent="0.25">
      <c r="F35" s="319" t="s">
        <v>434</v>
      </c>
      <c r="G35" s="124"/>
    </row>
    <row r="36" spans="2:11" x14ac:dyDescent="0.25">
      <c r="B36" s="342"/>
      <c r="E36" s="1"/>
      <c r="G36" s="128"/>
      <c r="J36" s="5"/>
    </row>
    <row r="37" spans="2:11" x14ac:dyDescent="0.25">
      <c r="B37" s="343"/>
      <c r="E37" s="1"/>
      <c r="G37" s="130"/>
      <c r="J37" s="1"/>
    </row>
    <row r="38" spans="2:11" x14ac:dyDescent="0.25">
      <c r="B38" s="36"/>
    </row>
    <row r="39" spans="2:11" x14ac:dyDescent="0.25">
      <c r="B39" s="36"/>
    </row>
    <row r="40" spans="2:11" x14ac:dyDescent="0.25">
      <c r="B40" s="36"/>
    </row>
  </sheetData>
  <mergeCells count="37">
    <mergeCell ref="A21:F21"/>
    <mergeCell ref="H21:K21"/>
    <mergeCell ref="C9:G9"/>
    <mergeCell ref="A1:L1"/>
    <mergeCell ref="A2:L2"/>
    <mergeCell ref="A3:L3"/>
    <mergeCell ref="A4:L4"/>
    <mergeCell ref="A5:L5"/>
    <mergeCell ref="A6:L6"/>
    <mergeCell ref="A7:L7"/>
    <mergeCell ref="A8:L8"/>
    <mergeCell ref="A12:L12"/>
    <mergeCell ref="A15:A16"/>
    <mergeCell ref="A17:L17"/>
    <mergeCell ref="A18:B18"/>
    <mergeCell ref="C18:G18"/>
    <mergeCell ref="A30:F30"/>
    <mergeCell ref="H30:K30"/>
    <mergeCell ref="A22:L22"/>
    <mergeCell ref="A23:L23"/>
    <mergeCell ref="A24:L24"/>
    <mergeCell ref="A29:F29"/>
    <mergeCell ref="H29:K29"/>
    <mergeCell ref="A25:B25"/>
    <mergeCell ref="C25:G25"/>
    <mergeCell ref="H25:L25"/>
    <mergeCell ref="H18:L18"/>
    <mergeCell ref="H15:H16"/>
    <mergeCell ref="I15:I16"/>
    <mergeCell ref="J15:J16"/>
    <mergeCell ref="K15:K16"/>
    <mergeCell ref="L15:L16"/>
    <mergeCell ref="H9:L9"/>
    <mergeCell ref="A9:B9"/>
    <mergeCell ref="A13:B13"/>
    <mergeCell ref="C13:G13"/>
    <mergeCell ref="H13:L1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P62"/>
  <sheetViews>
    <sheetView topLeftCell="A41" zoomScaleNormal="100" workbookViewId="0">
      <selection activeCell="D56" sqref="D56:D57"/>
    </sheetView>
  </sheetViews>
  <sheetFormatPr baseColWidth="10" defaultRowHeight="12.75" x14ac:dyDescent="0.2"/>
  <cols>
    <col min="1" max="1" width="15.28515625" style="12" customWidth="1"/>
    <col min="2" max="2" width="14.28515625" style="12" customWidth="1"/>
    <col min="3" max="7" width="14" style="12" customWidth="1"/>
    <col min="8" max="9" width="11.42578125" style="12"/>
    <col min="10" max="10" width="11.7109375" style="12" customWidth="1"/>
    <col min="11" max="11" width="15" style="12" customWidth="1"/>
    <col min="12" max="16384" width="11.42578125" style="12"/>
  </cols>
  <sheetData>
    <row r="1" spans="1:7" ht="36.75" hidden="1" customHeight="1" thickBot="1" x14ac:dyDescent="0.25"/>
    <row r="2" spans="1:7" ht="42.75" customHeight="1" thickBot="1" x14ac:dyDescent="0.25"/>
    <row r="3" spans="1:7" ht="15" customHeight="1" x14ac:dyDescent="0.2">
      <c r="A3" s="710" t="s">
        <v>358</v>
      </c>
      <c r="B3" s="711"/>
      <c r="C3" s="711"/>
      <c r="D3" s="711"/>
      <c r="E3" s="711"/>
      <c r="F3" s="711"/>
      <c r="G3" s="712"/>
    </row>
    <row r="4" spans="1:7" ht="15" customHeight="1" x14ac:dyDescent="0.2">
      <c r="A4" s="76"/>
      <c r="B4" s="713"/>
      <c r="C4" s="713"/>
      <c r="D4" s="713"/>
      <c r="E4" s="713"/>
      <c r="F4" s="713"/>
      <c r="G4" s="714"/>
    </row>
    <row r="5" spans="1:7" x14ac:dyDescent="0.2">
      <c r="A5" s="76"/>
      <c r="B5" s="713" t="s">
        <v>54</v>
      </c>
      <c r="C5" s="713"/>
      <c r="D5" s="713"/>
      <c r="E5" s="713"/>
      <c r="F5" s="713"/>
      <c r="G5" s="714"/>
    </row>
    <row r="6" spans="1:7" ht="12.75" customHeight="1" x14ac:dyDescent="0.2">
      <c r="A6" s="721"/>
      <c r="B6" s="722"/>
      <c r="C6" s="722"/>
      <c r="D6" s="722"/>
      <c r="E6" s="722"/>
      <c r="F6" s="722"/>
      <c r="G6" s="723"/>
    </row>
    <row r="7" spans="1:7" ht="9.75" customHeight="1" thickBot="1" x14ac:dyDescent="0.25">
      <c r="A7" s="715"/>
      <c r="B7" s="716"/>
      <c r="C7" s="716"/>
      <c r="D7" s="716"/>
      <c r="E7" s="716"/>
      <c r="F7" s="716"/>
      <c r="G7" s="717"/>
    </row>
    <row r="8" spans="1:7" x14ac:dyDescent="0.2">
      <c r="A8" s="718" t="s">
        <v>55</v>
      </c>
      <c r="B8" s="719"/>
      <c r="C8" s="719"/>
      <c r="D8" s="719" t="s">
        <v>56</v>
      </c>
      <c r="E8" s="719"/>
      <c r="F8" s="719"/>
      <c r="G8" s="720"/>
    </row>
    <row r="9" spans="1:7" ht="18" customHeight="1" x14ac:dyDescent="0.2">
      <c r="A9" s="724" t="s">
        <v>57</v>
      </c>
      <c r="B9" s="725"/>
      <c r="C9" s="725"/>
      <c r="D9" s="725"/>
      <c r="E9" s="726"/>
      <c r="F9" s="730" t="s">
        <v>424</v>
      </c>
      <c r="G9" s="731"/>
    </row>
    <row r="10" spans="1:7" ht="38.25" customHeight="1" thickBot="1" x14ac:dyDescent="0.25">
      <c r="A10" s="727"/>
      <c r="B10" s="728"/>
      <c r="C10" s="728"/>
      <c r="D10" s="728"/>
      <c r="E10" s="729"/>
      <c r="F10" s="732" t="s">
        <v>58</v>
      </c>
      <c r="G10" s="733"/>
    </row>
    <row r="11" spans="1:7" ht="12.75" customHeight="1" thickBot="1" x14ac:dyDescent="0.25">
      <c r="A11" s="734" t="s">
        <v>59</v>
      </c>
      <c r="B11" s="735"/>
      <c r="C11" s="735"/>
      <c r="D11" s="735"/>
      <c r="E11" s="735"/>
      <c r="F11" s="735"/>
      <c r="G11" s="736"/>
    </row>
    <row r="12" spans="1:7" x14ac:dyDescent="0.2">
      <c r="A12" s="737" t="s">
        <v>60</v>
      </c>
      <c r="B12" s="738"/>
      <c r="C12" s="67" t="s">
        <v>61</v>
      </c>
      <c r="D12" s="67" t="s">
        <v>62</v>
      </c>
      <c r="E12" s="67" t="s">
        <v>63</v>
      </c>
      <c r="F12" s="67" t="s">
        <v>64</v>
      </c>
      <c r="G12" s="44"/>
    </row>
    <row r="13" spans="1:7" x14ac:dyDescent="0.2">
      <c r="A13" s="739" t="s">
        <v>65</v>
      </c>
      <c r="B13" s="740"/>
      <c r="C13" s="13" t="s">
        <v>13</v>
      </c>
      <c r="D13" s="17">
        <f>(9000*1.07)</f>
        <v>9630</v>
      </c>
      <c r="E13" s="13">
        <v>5</v>
      </c>
      <c r="F13" s="15">
        <f t="shared" ref="F13:F19" si="0">+D13/E13</f>
        <v>1926</v>
      </c>
      <c r="G13" s="14"/>
    </row>
    <row r="14" spans="1:7" x14ac:dyDescent="0.2">
      <c r="A14" s="739" t="s">
        <v>66</v>
      </c>
      <c r="B14" s="740"/>
      <c r="C14" s="13" t="s">
        <v>13</v>
      </c>
      <c r="D14" s="17">
        <f>(6000*1.07)</f>
        <v>6420</v>
      </c>
      <c r="E14" s="13">
        <v>5</v>
      </c>
      <c r="F14" s="15">
        <f t="shared" si="0"/>
        <v>1284</v>
      </c>
      <c r="G14" s="16"/>
    </row>
    <row r="15" spans="1:7" x14ac:dyDescent="0.2">
      <c r="A15" s="739" t="s">
        <v>67</v>
      </c>
      <c r="B15" s="740"/>
      <c r="C15" s="13" t="s">
        <v>13</v>
      </c>
      <c r="D15" s="17">
        <f>(6000*1.07)</f>
        <v>6420</v>
      </c>
      <c r="E15" s="13">
        <v>6</v>
      </c>
      <c r="F15" s="15">
        <f t="shared" si="0"/>
        <v>1070</v>
      </c>
      <c r="G15" s="16"/>
    </row>
    <row r="16" spans="1:7" x14ac:dyDescent="0.2">
      <c r="A16" s="739" t="s">
        <v>68</v>
      </c>
      <c r="B16" s="740"/>
      <c r="C16" s="13" t="s">
        <v>13</v>
      </c>
      <c r="D16" s="17">
        <f>(15000*1.07)</f>
        <v>16050.000000000002</v>
      </c>
      <c r="E16" s="13">
        <v>6</v>
      </c>
      <c r="F16" s="15">
        <f t="shared" si="0"/>
        <v>2675.0000000000005</v>
      </c>
      <c r="G16" s="16"/>
    </row>
    <row r="17" spans="1:16" x14ac:dyDescent="0.2">
      <c r="A17" s="741" t="s">
        <v>69</v>
      </c>
      <c r="B17" s="742"/>
      <c r="C17" s="13" t="s">
        <v>13</v>
      </c>
      <c r="D17" s="17">
        <f>(9000*1.07)</f>
        <v>9630</v>
      </c>
      <c r="E17" s="13">
        <v>6</v>
      </c>
      <c r="F17" s="15">
        <f t="shared" si="0"/>
        <v>1605</v>
      </c>
      <c r="G17" s="16"/>
    </row>
    <row r="18" spans="1:16" x14ac:dyDescent="0.2">
      <c r="A18" s="739" t="s">
        <v>320</v>
      </c>
      <c r="B18" s="740"/>
      <c r="C18" s="13" t="s">
        <v>70</v>
      </c>
      <c r="D18" s="17">
        <f>(4000*1.07)</f>
        <v>4280</v>
      </c>
      <c r="E18" s="13">
        <v>3</v>
      </c>
      <c r="F18" s="15">
        <f t="shared" si="0"/>
        <v>1426.6666666666667</v>
      </c>
      <c r="G18" s="16"/>
    </row>
    <row r="19" spans="1:16" x14ac:dyDescent="0.2">
      <c r="A19" s="739" t="s">
        <v>71</v>
      </c>
      <c r="B19" s="740"/>
      <c r="C19" s="13" t="s">
        <v>13</v>
      </c>
      <c r="D19" s="17">
        <v>31441</v>
      </c>
      <c r="E19" s="115">
        <v>3</v>
      </c>
      <c r="F19" s="15">
        <f t="shared" si="0"/>
        <v>10480.333333333334</v>
      </c>
      <c r="G19" s="16"/>
      <c r="P19" s="12">
        <f>6000000/30</f>
        <v>200000</v>
      </c>
    </row>
    <row r="20" spans="1:16" ht="13.5" thickBot="1" x14ac:dyDescent="0.25">
      <c r="A20" s="18"/>
      <c r="B20" s="19"/>
      <c r="C20" s="19"/>
      <c r="D20" s="20"/>
      <c r="E20" s="19"/>
      <c r="F20" s="21" t="s">
        <v>72</v>
      </c>
      <c r="G20" s="43">
        <f>SUM(F13:F19)</f>
        <v>20467</v>
      </c>
      <c r="P20" s="12">
        <f>+P19/8</f>
        <v>25000</v>
      </c>
    </row>
    <row r="21" spans="1:16" ht="13.5" customHeight="1" thickBot="1" x14ac:dyDescent="0.25">
      <c r="A21" s="49" t="s">
        <v>73</v>
      </c>
      <c r="B21" s="45"/>
      <c r="C21" s="46"/>
      <c r="D21" s="47"/>
      <c r="E21" s="46"/>
      <c r="F21" s="47"/>
      <c r="G21" s="48"/>
    </row>
    <row r="22" spans="1:16" x14ac:dyDescent="0.2">
      <c r="A22" s="737" t="s">
        <v>60</v>
      </c>
      <c r="B22" s="738"/>
      <c r="C22" s="67" t="s">
        <v>13</v>
      </c>
      <c r="D22" s="68" t="s">
        <v>74</v>
      </c>
      <c r="E22" s="67" t="s">
        <v>75</v>
      </c>
      <c r="F22" s="68" t="s">
        <v>64</v>
      </c>
      <c r="G22" s="16"/>
      <c r="H22" s="42"/>
    </row>
    <row r="23" spans="1:16" x14ac:dyDescent="0.2">
      <c r="A23" s="739" t="s">
        <v>36</v>
      </c>
      <c r="B23" s="740"/>
      <c r="C23" s="13" t="s">
        <v>13</v>
      </c>
      <c r="D23" s="17">
        <f>(141473.49*1.07)</f>
        <v>151376.63430000001</v>
      </c>
      <c r="E23" s="24">
        <v>0.125</v>
      </c>
      <c r="F23" s="17">
        <f t="shared" ref="F23:F35" si="1">D23*E23</f>
        <v>18922.079287500001</v>
      </c>
      <c r="G23" s="16"/>
      <c r="H23" s="42"/>
    </row>
    <row r="24" spans="1:16" x14ac:dyDescent="0.2">
      <c r="A24" s="743" t="s">
        <v>53</v>
      </c>
      <c r="B24" s="744"/>
      <c r="C24" s="13" t="s">
        <v>13</v>
      </c>
      <c r="D24" s="17">
        <f>(57755.443*1.07)</f>
        <v>61798.324010000004</v>
      </c>
      <c r="E24" s="24">
        <v>1</v>
      </c>
      <c r="F24" s="17">
        <f t="shared" si="1"/>
        <v>61798.324010000004</v>
      </c>
      <c r="G24" s="16"/>
      <c r="H24" s="42"/>
    </row>
    <row r="25" spans="1:16" x14ac:dyDescent="0.2">
      <c r="A25" s="743" t="s">
        <v>37</v>
      </c>
      <c r="B25" s="744"/>
      <c r="C25" s="13" t="s">
        <v>47</v>
      </c>
      <c r="D25" s="17">
        <f>(161595.54*1.07)</f>
        <v>172907.22780000002</v>
      </c>
      <c r="E25" s="24">
        <v>0.06</v>
      </c>
      <c r="F25" s="17">
        <f t="shared" si="1"/>
        <v>10374.433668000001</v>
      </c>
      <c r="G25" s="16"/>
      <c r="H25" s="42"/>
    </row>
    <row r="26" spans="1:16" x14ac:dyDescent="0.2">
      <c r="A26" s="743" t="s">
        <v>76</v>
      </c>
      <c r="B26" s="744"/>
      <c r="C26" s="13" t="s">
        <v>47</v>
      </c>
      <c r="D26" s="17">
        <f>(36626.2586*1.07)</f>
        <v>39190.096702000003</v>
      </c>
      <c r="E26" s="24">
        <v>0.04</v>
      </c>
      <c r="F26" s="17">
        <f t="shared" si="1"/>
        <v>1567.6038680800002</v>
      </c>
      <c r="G26" s="16"/>
      <c r="H26" s="42"/>
    </row>
    <row r="27" spans="1:16" x14ac:dyDescent="0.2">
      <c r="A27" s="743" t="s">
        <v>38</v>
      </c>
      <c r="B27" s="744"/>
      <c r="C27" s="13" t="s">
        <v>15</v>
      </c>
      <c r="D27" s="17">
        <f>(55370*1.07)</f>
        <v>59245.9</v>
      </c>
      <c r="E27" s="24">
        <v>0.04</v>
      </c>
      <c r="F27" s="17">
        <f t="shared" si="1"/>
        <v>2369.8360000000002</v>
      </c>
      <c r="G27" s="16"/>
      <c r="H27" s="42"/>
    </row>
    <row r="28" spans="1:16" x14ac:dyDescent="0.2">
      <c r="A28" s="743" t="s">
        <v>39</v>
      </c>
      <c r="B28" s="744"/>
      <c r="C28" s="13" t="s">
        <v>15</v>
      </c>
      <c r="D28" s="17">
        <f>(32016*1.07)</f>
        <v>34257.120000000003</v>
      </c>
      <c r="E28" s="24">
        <v>0.04</v>
      </c>
      <c r="F28" s="17">
        <f t="shared" si="1"/>
        <v>1370.2848000000001</v>
      </c>
      <c r="G28" s="16"/>
      <c r="H28" s="42"/>
    </row>
    <row r="29" spans="1:16" x14ac:dyDescent="0.2">
      <c r="A29" s="743" t="s">
        <v>40</v>
      </c>
      <c r="B29" s="744"/>
      <c r="C29" s="13" t="s">
        <v>48</v>
      </c>
      <c r="D29" s="17">
        <f>(10759.6213*1.07)</f>
        <v>11512.794791000002</v>
      </c>
      <c r="E29" s="24">
        <v>0.04</v>
      </c>
      <c r="F29" s="17">
        <f t="shared" si="1"/>
        <v>460.51179164000007</v>
      </c>
      <c r="G29" s="16"/>
      <c r="H29" s="42"/>
    </row>
    <row r="30" spans="1:16" x14ac:dyDescent="0.2">
      <c r="A30" s="743" t="s">
        <v>41</v>
      </c>
      <c r="B30" s="744"/>
      <c r="C30" s="13" t="s">
        <v>13</v>
      </c>
      <c r="D30" s="17">
        <f>(888.4659*1.07)</f>
        <v>950.65851300000008</v>
      </c>
      <c r="E30" s="24">
        <v>4</v>
      </c>
      <c r="F30" s="17">
        <f t="shared" si="1"/>
        <v>3802.6340520000003</v>
      </c>
      <c r="G30" s="16"/>
      <c r="H30" s="42"/>
    </row>
    <row r="31" spans="1:16" x14ac:dyDescent="0.2">
      <c r="A31" s="743" t="s">
        <v>42</v>
      </c>
      <c r="B31" s="744"/>
      <c r="C31" s="13" t="s">
        <v>49</v>
      </c>
      <c r="D31" s="17">
        <f>(16301.9562*1.07)</f>
        <v>17443.093134000002</v>
      </c>
      <c r="E31" s="24">
        <v>3</v>
      </c>
      <c r="F31" s="17">
        <f t="shared" si="1"/>
        <v>52329.279402000007</v>
      </c>
      <c r="G31" s="16"/>
      <c r="H31" s="42"/>
      <c r="K31" s="25"/>
      <c r="P31" s="12">
        <f>0.6*0.6</f>
        <v>0.36</v>
      </c>
    </row>
    <row r="32" spans="1:16" x14ac:dyDescent="0.2">
      <c r="A32" s="743" t="s">
        <v>43</v>
      </c>
      <c r="B32" s="745"/>
      <c r="C32" s="13" t="s">
        <v>49</v>
      </c>
      <c r="D32" s="17">
        <f>(8712.3317*1.07)</f>
        <v>9322.1949190000014</v>
      </c>
      <c r="E32" s="24">
        <v>1</v>
      </c>
      <c r="F32" s="17">
        <f t="shared" si="1"/>
        <v>9322.1949190000014</v>
      </c>
      <c r="G32" s="16"/>
      <c r="H32" s="42"/>
      <c r="K32" s="25"/>
    </row>
    <row r="33" spans="1:10" x14ac:dyDescent="0.2">
      <c r="A33" s="743" t="s">
        <v>44</v>
      </c>
      <c r="B33" s="745"/>
      <c r="C33" s="13" t="s">
        <v>50</v>
      </c>
      <c r="D33" s="17">
        <f>(50037.76*1.07)</f>
        <v>53540.403200000008</v>
      </c>
      <c r="E33" s="24">
        <v>0.1</v>
      </c>
      <c r="F33" s="26">
        <f t="shared" si="1"/>
        <v>5354.040320000001</v>
      </c>
      <c r="G33" s="16"/>
    </row>
    <row r="34" spans="1:10" x14ac:dyDescent="0.2">
      <c r="A34" s="743" t="s">
        <v>45</v>
      </c>
      <c r="B34" s="745"/>
      <c r="C34" s="13" t="s">
        <v>51</v>
      </c>
      <c r="D34" s="17">
        <f>(77805.26*1.07)</f>
        <v>83251.628200000006</v>
      </c>
      <c r="E34" s="24">
        <v>1.6666666666666666E-2</v>
      </c>
      <c r="F34" s="26">
        <f t="shared" si="1"/>
        <v>1387.5271366666668</v>
      </c>
      <c r="G34" s="16"/>
    </row>
    <row r="35" spans="1:10" x14ac:dyDescent="0.2">
      <c r="A35" s="750" t="s">
        <v>46</v>
      </c>
      <c r="B35" s="751"/>
      <c r="C35" s="13" t="s">
        <v>52</v>
      </c>
      <c r="D35" s="17">
        <f>(83790.28*1.07)</f>
        <v>89655.599600000001</v>
      </c>
      <c r="E35" s="24">
        <v>2.2222222222222223E-2</v>
      </c>
      <c r="F35" s="26">
        <f t="shared" si="1"/>
        <v>1992.3466577777779</v>
      </c>
      <c r="G35" s="16"/>
    </row>
    <row r="36" spans="1:10" ht="13.5" thickBot="1" x14ac:dyDescent="0.25">
      <c r="A36" s="18"/>
      <c r="B36" s="19"/>
      <c r="C36" s="19"/>
      <c r="D36" s="20"/>
      <c r="E36" s="19"/>
      <c r="F36" s="20" t="s">
        <v>72</v>
      </c>
      <c r="G36" s="43">
        <f>SUM(F23:F35)</f>
        <v>171051.09591266446</v>
      </c>
      <c r="I36" s="27"/>
    </row>
    <row r="37" spans="1:10" ht="13.5" thickBot="1" x14ac:dyDescent="0.25">
      <c r="A37" s="49" t="s">
        <v>77</v>
      </c>
      <c r="B37" s="50"/>
      <c r="C37" s="50"/>
      <c r="D37" s="51"/>
      <c r="E37" s="50"/>
      <c r="F37" s="51"/>
      <c r="G37" s="52"/>
    </row>
    <row r="38" spans="1:10" x14ac:dyDescent="0.2">
      <c r="A38" s="66" t="s">
        <v>78</v>
      </c>
      <c r="B38" s="67" t="s">
        <v>79</v>
      </c>
      <c r="C38" s="67" t="s">
        <v>80</v>
      </c>
      <c r="D38" s="68" t="s">
        <v>81</v>
      </c>
      <c r="E38" s="67" t="s">
        <v>63</v>
      </c>
      <c r="F38" s="68" t="s">
        <v>64</v>
      </c>
      <c r="G38" s="16"/>
    </row>
    <row r="39" spans="1:10" x14ac:dyDescent="0.2">
      <c r="A39" s="69" t="s">
        <v>82</v>
      </c>
      <c r="B39" s="28">
        <f>'Mano Obra 2016'!D16</f>
        <v>72806</v>
      </c>
      <c r="C39" s="302">
        <v>1.595</v>
      </c>
      <c r="D39" s="17">
        <f>B39*C39</f>
        <v>116125.56999999999</v>
      </c>
      <c r="E39" s="29">
        <v>7</v>
      </c>
      <c r="F39" s="17">
        <f>D39/E39</f>
        <v>16589.367142857143</v>
      </c>
      <c r="G39" s="23"/>
    </row>
    <row r="40" spans="1:10" x14ac:dyDescent="0.2">
      <c r="A40" s="69" t="s">
        <v>83</v>
      </c>
      <c r="B40" s="28">
        <f>'Mano Obra 2016'!D11</f>
        <v>39644</v>
      </c>
      <c r="C40" s="302">
        <v>1.7202</v>
      </c>
      <c r="D40" s="17">
        <f>B40*C40</f>
        <v>68195.608800000002</v>
      </c>
      <c r="E40" s="29">
        <v>7</v>
      </c>
      <c r="F40" s="17">
        <f>D40/E40</f>
        <v>9742.2298285714296</v>
      </c>
      <c r="G40" s="16"/>
    </row>
    <row r="41" spans="1:10" x14ac:dyDescent="0.2">
      <c r="A41" s="69" t="s">
        <v>84</v>
      </c>
      <c r="B41" s="28">
        <f>'Mano Obra 2016'!D10</f>
        <v>37920</v>
      </c>
      <c r="C41" s="302">
        <v>1.7264999999999999</v>
      </c>
      <c r="D41" s="17">
        <f>B41*C41</f>
        <v>65468.88</v>
      </c>
      <c r="E41" s="29">
        <v>7</v>
      </c>
      <c r="F41" s="17">
        <f>D41/E41</f>
        <v>9352.6971428571433</v>
      </c>
      <c r="G41" s="16"/>
    </row>
    <row r="42" spans="1:10" x14ac:dyDescent="0.2">
      <c r="A42" s="69" t="s">
        <v>85</v>
      </c>
      <c r="B42" s="28">
        <f>'Mano Obra 2016'!D13</f>
        <v>60672</v>
      </c>
      <c r="C42" s="302">
        <v>1.5980000000000001</v>
      </c>
      <c r="D42" s="17">
        <f>+B42*C42</f>
        <v>96953.856</v>
      </c>
      <c r="E42" s="29">
        <v>7</v>
      </c>
      <c r="F42" s="17">
        <f>+D42/E42</f>
        <v>13850.550857142856</v>
      </c>
      <c r="G42" s="16"/>
    </row>
    <row r="43" spans="1:10" x14ac:dyDescent="0.2">
      <c r="A43" s="69" t="s">
        <v>86</v>
      </c>
      <c r="B43" s="28">
        <f>'Mano Obra 2016'!D8</f>
        <v>27578</v>
      </c>
      <c r="C43" s="302">
        <v>1.7815000000000001</v>
      </c>
      <c r="D43" s="17">
        <f>B43*C43</f>
        <v>49130.207000000002</v>
      </c>
      <c r="E43" s="29">
        <v>7</v>
      </c>
      <c r="F43" s="17">
        <f>D43/E43</f>
        <v>7018.6010000000006</v>
      </c>
      <c r="G43" s="16"/>
    </row>
    <row r="44" spans="1:10" x14ac:dyDescent="0.2">
      <c r="A44" s="69" t="s">
        <v>86</v>
      </c>
      <c r="B44" s="28">
        <f>'Mano Obra 2016'!D8</f>
        <v>27578</v>
      </c>
      <c r="C44" s="302">
        <v>1.7815000000000001</v>
      </c>
      <c r="D44" s="17">
        <f>B44*C44</f>
        <v>49130.207000000002</v>
      </c>
      <c r="E44" s="29">
        <v>7</v>
      </c>
      <c r="F44" s="17">
        <f>D44/E44</f>
        <v>7018.6010000000006</v>
      </c>
      <c r="G44" s="16"/>
    </row>
    <row r="45" spans="1:10" x14ac:dyDescent="0.2">
      <c r="A45" s="69" t="s">
        <v>87</v>
      </c>
      <c r="B45" s="28">
        <f>'Mano Obra 2016'!D13</f>
        <v>60672</v>
      </c>
      <c r="C45" s="302">
        <v>1.5980000000000001</v>
      </c>
      <c r="D45" s="17">
        <f>B45*C45</f>
        <v>96953.856</v>
      </c>
      <c r="E45" s="29">
        <v>7</v>
      </c>
      <c r="F45" s="17">
        <f>D45/E45</f>
        <v>13850.550857142856</v>
      </c>
      <c r="G45" s="16"/>
    </row>
    <row r="46" spans="1:10" x14ac:dyDescent="0.2">
      <c r="A46" s="30"/>
      <c r="B46" s="11"/>
      <c r="C46" s="11"/>
      <c r="D46" s="11"/>
      <c r="E46" s="11"/>
      <c r="F46" s="11"/>
      <c r="G46" s="16"/>
    </row>
    <row r="47" spans="1:10" ht="13.5" thickBot="1" x14ac:dyDescent="0.25">
      <c r="A47" s="18"/>
      <c r="B47" s="19"/>
      <c r="C47" s="19"/>
      <c r="D47" s="20"/>
      <c r="E47" s="19"/>
      <c r="F47" s="20" t="s">
        <v>72</v>
      </c>
      <c r="G47" s="22">
        <f>SUM(F39:F45)</f>
        <v>77422.597828571437</v>
      </c>
      <c r="J47" s="12" t="s">
        <v>427</v>
      </c>
    </row>
    <row r="48" spans="1:10" ht="13.5" customHeight="1" thickBot="1" x14ac:dyDescent="0.25">
      <c r="A48" s="18"/>
      <c r="B48" s="19"/>
      <c r="C48" s="752" t="s">
        <v>88</v>
      </c>
      <c r="D48" s="752"/>
      <c r="E48" s="752"/>
      <c r="F48" s="753"/>
      <c r="G48" s="339">
        <f>+MROUND(SUM(G20:G47),1)</f>
        <v>268941</v>
      </c>
      <c r="I48" s="585"/>
      <c r="J48" s="584">
        <f>G48*1.35</f>
        <v>363070.35000000003</v>
      </c>
    </row>
    <row r="49" spans="1:9" ht="13.5" thickBot="1" x14ac:dyDescent="0.25">
      <c r="A49" s="49" t="s">
        <v>89</v>
      </c>
      <c r="B49" s="50"/>
      <c r="C49" s="50"/>
      <c r="D49" s="51"/>
      <c r="E49" s="50"/>
      <c r="F49" s="51"/>
      <c r="G49" s="52"/>
    </row>
    <row r="50" spans="1:9" x14ac:dyDescent="0.2">
      <c r="A50" s="754" t="s">
        <v>60</v>
      </c>
      <c r="B50" s="755"/>
      <c r="C50" s="755"/>
      <c r="D50" s="755"/>
      <c r="E50" s="53" t="s">
        <v>90</v>
      </c>
      <c r="F50" s="54" t="s">
        <v>91</v>
      </c>
      <c r="G50" s="16"/>
    </row>
    <row r="51" spans="1:9" x14ac:dyDescent="0.2">
      <c r="A51" s="756" t="s">
        <v>164</v>
      </c>
      <c r="B51" s="757"/>
      <c r="C51" s="757"/>
      <c r="D51" s="757"/>
      <c r="E51" s="31">
        <v>0.35</v>
      </c>
      <c r="F51" s="32"/>
      <c r="G51" s="16"/>
    </row>
    <row r="52" spans="1:9" x14ac:dyDescent="0.2">
      <c r="A52" s="18"/>
      <c r="B52" s="19"/>
      <c r="C52" s="19"/>
      <c r="D52" s="19"/>
      <c r="E52" s="19"/>
      <c r="F52" s="20" t="s">
        <v>72</v>
      </c>
      <c r="G52" s="22">
        <f>SUM(F51:F51)</f>
        <v>0</v>
      </c>
    </row>
    <row r="53" spans="1:9" x14ac:dyDescent="0.2">
      <c r="A53" s="746" t="s">
        <v>92</v>
      </c>
      <c r="B53" s="747"/>
      <c r="C53" s="747"/>
      <c r="D53" s="747"/>
      <c r="E53" s="747"/>
      <c r="F53" s="747"/>
      <c r="G53" s="22">
        <f>+MROUND(G52+G48,1)</f>
        <v>268941</v>
      </c>
      <c r="I53" s="27"/>
    </row>
    <row r="54" spans="1:9" ht="13.5" thickBot="1" x14ac:dyDescent="0.25">
      <c r="A54" s="748" t="s">
        <v>93</v>
      </c>
      <c r="B54" s="749"/>
      <c r="C54" s="749"/>
      <c r="D54" s="749"/>
      <c r="E54" s="749"/>
      <c r="F54" s="749"/>
      <c r="G54" s="33">
        <f>+G53</f>
        <v>268941</v>
      </c>
    </row>
    <row r="55" spans="1:9" s="78" customFormat="1" x14ac:dyDescent="0.2">
      <c r="A55" s="77"/>
      <c r="B55" s="77"/>
      <c r="C55" s="77"/>
      <c r="D55" s="77"/>
      <c r="E55" s="77"/>
      <c r="F55" s="77"/>
      <c r="G55" s="77"/>
    </row>
    <row r="56" spans="1:9" s="1" customFormat="1" ht="68.25" customHeight="1" x14ac:dyDescent="0.25">
      <c r="D56" s="586" t="s">
        <v>420</v>
      </c>
      <c r="G56" s="121"/>
      <c r="H56" s="2"/>
      <c r="I56" s="3"/>
    </row>
    <row r="57" spans="1:9" s="1" customFormat="1" ht="14.25" x14ac:dyDescent="0.25">
      <c r="D57" s="347" t="s">
        <v>434</v>
      </c>
      <c r="F57" s="131"/>
      <c r="G57" s="36"/>
      <c r="I57" s="3"/>
    </row>
    <row r="58" spans="1:9" s="1" customFormat="1" x14ac:dyDescent="0.25">
      <c r="D58" s="326"/>
      <c r="F58" s="131"/>
      <c r="G58" s="36"/>
      <c r="I58" s="3"/>
    </row>
    <row r="59" spans="1:9" s="1" customFormat="1" x14ac:dyDescent="0.25">
      <c r="A59" s="327"/>
      <c r="C59" s="2"/>
      <c r="D59" s="3"/>
      <c r="E59" s="5"/>
      <c r="H59" s="2"/>
      <c r="I59" s="3"/>
    </row>
    <row r="60" spans="1:9" s="1" customFormat="1" x14ac:dyDescent="0.25">
      <c r="A60" s="328"/>
      <c r="D60" s="3"/>
      <c r="F60" s="328"/>
      <c r="G60" s="3"/>
      <c r="H60" s="2"/>
      <c r="I60" s="3"/>
    </row>
    <row r="61" spans="1:9" s="78" customFormat="1" x14ac:dyDescent="0.2">
      <c r="A61" s="77"/>
      <c r="B61" s="77"/>
      <c r="C61" s="77"/>
      <c r="D61" s="77"/>
      <c r="E61" s="77"/>
      <c r="F61" s="77"/>
      <c r="G61" s="77"/>
    </row>
    <row r="62" spans="1:9" x14ac:dyDescent="0.2">
      <c r="A62" s="34"/>
      <c r="B62" s="34"/>
      <c r="C62" s="34"/>
      <c r="D62" s="34"/>
      <c r="E62" s="34"/>
      <c r="F62" s="34"/>
      <c r="G62" s="34"/>
    </row>
  </sheetData>
  <mergeCells count="38">
    <mergeCell ref="A54:F54"/>
    <mergeCell ref="A34:B34"/>
    <mergeCell ref="A35:B35"/>
    <mergeCell ref="C48:F48"/>
    <mergeCell ref="A50:D50"/>
    <mergeCell ref="A51:D51"/>
    <mergeCell ref="A30:B30"/>
    <mergeCell ref="A31:B31"/>
    <mergeCell ref="A32:B32"/>
    <mergeCell ref="A33:B33"/>
    <mergeCell ref="A53:F53"/>
    <mergeCell ref="A25:B25"/>
    <mergeCell ref="A26:B26"/>
    <mergeCell ref="A27:B27"/>
    <mergeCell ref="A28:B28"/>
    <mergeCell ref="A29:B29"/>
    <mergeCell ref="A18:B18"/>
    <mergeCell ref="A19:B19"/>
    <mergeCell ref="A22:B22"/>
    <mergeCell ref="A23:B23"/>
    <mergeCell ref="A24:B24"/>
    <mergeCell ref="A13:B13"/>
    <mergeCell ref="A14:B14"/>
    <mergeCell ref="A15:B15"/>
    <mergeCell ref="A16:B16"/>
    <mergeCell ref="A17:B17"/>
    <mergeCell ref="A9:E10"/>
    <mergeCell ref="F9:G9"/>
    <mergeCell ref="F10:G10"/>
    <mergeCell ref="A11:G11"/>
    <mergeCell ref="A12:B12"/>
    <mergeCell ref="A3:G3"/>
    <mergeCell ref="B4:G4"/>
    <mergeCell ref="B5:G5"/>
    <mergeCell ref="A7:G7"/>
    <mergeCell ref="A8:C8"/>
    <mergeCell ref="D8:G8"/>
    <mergeCell ref="A6:G6"/>
  </mergeCells>
  <printOptions horizontalCentered="1"/>
  <pageMargins left="0.74803149606299202" right="0.74803149606299202" top="0.98425196850393704" bottom="0.98425196850393704" header="0" footer="0"/>
  <pageSetup paperSize="5" scale="85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Q62"/>
  <sheetViews>
    <sheetView topLeftCell="A2" zoomScaleNormal="100" workbookViewId="0">
      <selection activeCell="D56" sqref="D56:D57"/>
    </sheetView>
  </sheetViews>
  <sheetFormatPr baseColWidth="10" defaultRowHeight="12.75" x14ac:dyDescent="0.2"/>
  <cols>
    <col min="1" max="1" width="15.28515625" style="12" customWidth="1"/>
    <col min="2" max="2" width="14.28515625" style="12" customWidth="1"/>
    <col min="3" max="8" width="14" style="12" customWidth="1"/>
    <col min="9" max="10" width="11.42578125" style="12"/>
    <col min="11" max="11" width="11.7109375" style="12" customWidth="1"/>
    <col min="12" max="12" width="15" style="12" customWidth="1"/>
    <col min="13" max="16384" width="11.42578125" style="12"/>
  </cols>
  <sheetData>
    <row r="1" spans="1:8" ht="36.75" hidden="1" customHeight="1" thickBot="1" x14ac:dyDescent="0.25"/>
    <row r="2" spans="1:8" ht="42.75" customHeight="1" thickBot="1" x14ac:dyDescent="0.25"/>
    <row r="3" spans="1:8" ht="15" customHeight="1" x14ac:dyDescent="0.2">
      <c r="A3" s="710" t="s">
        <v>358</v>
      </c>
      <c r="B3" s="711"/>
      <c r="C3" s="711"/>
      <c r="D3" s="711"/>
      <c r="E3" s="711"/>
      <c r="F3" s="711"/>
      <c r="G3" s="711"/>
      <c r="H3" s="712"/>
    </row>
    <row r="4" spans="1:8" ht="15" customHeight="1" x14ac:dyDescent="0.2">
      <c r="A4" s="76"/>
      <c r="B4" s="713"/>
      <c r="C4" s="713"/>
      <c r="D4" s="713"/>
      <c r="E4" s="713"/>
      <c r="F4" s="713"/>
      <c r="G4" s="713"/>
      <c r="H4" s="714"/>
    </row>
    <row r="5" spans="1:8" x14ac:dyDescent="0.2">
      <c r="A5" s="76"/>
      <c r="B5" s="713" t="s">
        <v>54</v>
      </c>
      <c r="C5" s="713"/>
      <c r="D5" s="713"/>
      <c r="E5" s="713"/>
      <c r="F5" s="713"/>
      <c r="G5" s="713"/>
      <c r="H5" s="714"/>
    </row>
    <row r="6" spans="1:8" ht="12.75" customHeight="1" x14ac:dyDescent="0.2">
      <c r="A6" s="721"/>
      <c r="B6" s="722"/>
      <c r="C6" s="722"/>
      <c r="D6" s="722"/>
      <c r="E6" s="722"/>
      <c r="F6" s="722"/>
      <c r="G6" s="722"/>
      <c r="H6" s="723"/>
    </row>
    <row r="7" spans="1:8" ht="9.75" customHeight="1" thickBot="1" x14ac:dyDescent="0.25">
      <c r="A7" s="715"/>
      <c r="B7" s="716"/>
      <c r="C7" s="716"/>
      <c r="D7" s="716"/>
      <c r="E7" s="716"/>
      <c r="F7" s="716"/>
      <c r="G7" s="716"/>
      <c r="H7" s="717"/>
    </row>
    <row r="8" spans="1:8" x14ac:dyDescent="0.2">
      <c r="A8" s="718" t="s">
        <v>55</v>
      </c>
      <c r="B8" s="719"/>
      <c r="C8" s="719"/>
      <c r="D8" s="719" t="s">
        <v>56</v>
      </c>
      <c r="E8" s="758"/>
      <c r="F8" s="719"/>
      <c r="G8" s="719"/>
      <c r="H8" s="720"/>
    </row>
    <row r="9" spans="1:8" ht="18" customHeight="1" x14ac:dyDescent="0.2">
      <c r="A9" s="724" t="s">
        <v>426</v>
      </c>
      <c r="B9" s="725"/>
      <c r="C9" s="725"/>
      <c r="D9" s="725"/>
      <c r="E9" s="759"/>
      <c r="F9" s="726"/>
      <c r="G9" s="730" t="s">
        <v>424</v>
      </c>
      <c r="H9" s="731"/>
    </row>
    <row r="10" spans="1:8" ht="38.25" customHeight="1" thickBot="1" x14ac:dyDescent="0.25">
      <c r="A10" s="727"/>
      <c r="B10" s="728"/>
      <c r="C10" s="728"/>
      <c r="D10" s="728"/>
      <c r="E10" s="728"/>
      <c r="F10" s="729"/>
      <c r="G10" s="732" t="s">
        <v>58</v>
      </c>
      <c r="H10" s="733"/>
    </row>
    <row r="11" spans="1:8" ht="12.75" customHeight="1" thickBot="1" x14ac:dyDescent="0.25">
      <c r="A11" s="734" t="s">
        <v>59</v>
      </c>
      <c r="B11" s="735"/>
      <c r="C11" s="735"/>
      <c r="D11" s="735"/>
      <c r="E11" s="735"/>
      <c r="F11" s="735"/>
      <c r="G11" s="735"/>
      <c r="H11" s="736"/>
    </row>
    <row r="12" spans="1:8" x14ac:dyDescent="0.2">
      <c r="A12" s="737" t="s">
        <v>60</v>
      </c>
      <c r="B12" s="738"/>
      <c r="C12" s="67" t="s">
        <v>61</v>
      </c>
      <c r="D12" s="67" t="s">
        <v>62</v>
      </c>
      <c r="E12" s="581"/>
      <c r="F12" s="67" t="s">
        <v>63</v>
      </c>
      <c r="G12" s="67" t="s">
        <v>64</v>
      </c>
      <c r="H12" s="44"/>
    </row>
    <row r="13" spans="1:8" x14ac:dyDescent="0.2">
      <c r="A13" s="739" t="s">
        <v>65</v>
      </c>
      <c r="B13" s="740"/>
      <c r="C13" s="568" t="s">
        <v>13</v>
      </c>
      <c r="D13" s="17">
        <f>E13*53%</f>
        <v>5103.9000000000005</v>
      </c>
      <c r="E13" s="582">
        <v>9630</v>
      </c>
      <c r="F13" s="568">
        <v>5</v>
      </c>
      <c r="G13" s="15">
        <f t="shared" ref="G13:G19" si="0">+D13/F13</f>
        <v>1020.7800000000001</v>
      </c>
      <c r="H13" s="14"/>
    </row>
    <row r="14" spans="1:8" x14ac:dyDescent="0.2">
      <c r="A14" s="739" t="s">
        <v>66</v>
      </c>
      <c r="B14" s="740"/>
      <c r="C14" s="568" t="s">
        <v>13</v>
      </c>
      <c r="D14" s="17">
        <f t="shared" ref="D14:D19" si="1">E14*53%</f>
        <v>3402.6000000000004</v>
      </c>
      <c r="E14" s="582">
        <v>6420</v>
      </c>
      <c r="F14" s="568">
        <v>5</v>
      </c>
      <c r="G14" s="15">
        <f t="shared" si="0"/>
        <v>680.5200000000001</v>
      </c>
      <c r="H14" s="16"/>
    </row>
    <row r="15" spans="1:8" x14ac:dyDescent="0.2">
      <c r="A15" s="739" t="s">
        <v>67</v>
      </c>
      <c r="B15" s="740"/>
      <c r="C15" s="568" t="s">
        <v>13</v>
      </c>
      <c r="D15" s="17">
        <f t="shared" si="1"/>
        <v>3402.6000000000004</v>
      </c>
      <c r="E15" s="582">
        <v>6420</v>
      </c>
      <c r="F15" s="568">
        <v>6</v>
      </c>
      <c r="G15" s="15">
        <f t="shared" si="0"/>
        <v>567.1</v>
      </c>
      <c r="H15" s="16"/>
    </row>
    <row r="16" spans="1:8" x14ac:dyDescent="0.2">
      <c r="A16" s="739" t="s">
        <v>68</v>
      </c>
      <c r="B16" s="740"/>
      <c r="C16" s="568" t="s">
        <v>13</v>
      </c>
      <c r="D16" s="17">
        <f t="shared" si="1"/>
        <v>8506.5000000000018</v>
      </c>
      <c r="E16" s="582">
        <v>16050.000000000002</v>
      </c>
      <c r="F16" s="568">
        <v>6</v>
      </c>
      <c r="G16" s="15">
        <f t="shared" si="0"/>
        <v>1417.7500000000002</v>
      </c>
      <c r="H16" s="16"/>
    </row>
    <row r="17" spans="1:17" x14ac:dyDescent="0.2">
      <c r="A17" s="741" t="s">
        <v>69</v>
      </c>
      <c r="B17" s="742"/>
      <c r="C17" s="568" t="s">
        <v>13</v>
      </c>
      <c r="D17" s="17">
        <f t="shared" si="1"/>
        <v>5103.9000000000005</v>
      </c>
      <c r="E17" s="582">
        <v>9630</v>
      </c>
      <c r="F17" s="568">
        <v>6</v>
      </c>
      <c r="G17" s="15">
        <f t="shared" si="0"/>
        <v>850.65000000000009</v>
      </c>
      <c r="H17" s="16"/>
    </row>
    <row r="18" spans="1:17" x14ac:dyDescent="0.2">
      <c r="A18" s="739" t="s">
        <v>320</v>
      </c>
      <c r="B18" s="740"/>
      <c r="C18" s="568" t="s">
        <v>70</v>
      </c>
      <c r="D18" s="17">
        <f t="shared" si="1"/>
        <v>2268.4</v>
      </c>
      <c r="E18" s="582">
        <v>4280</v>
      </c>
      <c r="F18" s="568">
        <v>3</v>
      </c>
      <c r="G18" s="15">
        <f t="shared" si="0"/>
        <v>756.13333333333333</v>
      </c>
      <c r="H18" s="16"/>
    </row>
    <row r="19" spans="1:17" x14ac:dyDescent="0.2">
      <c r="A19" s="739" t="s">
        <v>71</v>
      </c>
      <c r="B19" s="740"/>
      <c r="C19" s="568" t="s">
        <v>13</v>
      </c>
      <c r="D19" s="17">
        <f t="shared" si="1"/>
        <v>16663.73</v>
      </c>
      <c r="E19" s="582">
        <v>31441</v>
      </c>
      <c r="F19" s="115">
        <v>3</v>
      </c>
      <c r="G19" s="15">
        <f t="shared" si="0"/>
        <v>5554.5766666666668</v>
      </c>
      <c r="H19" s="16"/>
      <c r="Q19" s="12">
        <f>6000000/30</f>
        <v>200000</v>
      </c>
    </row>
    <row r="20" spans="1:17" ht="13.5" thickBot="1" x14ac:dyDescent="0.25">
      <c r="A20" s="18"/>
      <c r="B20" s="19"/>
      <c r="C20" s="19"/>
      <c r="D20" s="20"/>
      <c r="E20" s="20"/>
      <c r="F20" s="19"/>
      <c r="G20" s="21" t="s">
        <v>72</v>
      </c>
      <c r="H20" s="43">
        <f>SUM(G13:G19)</f>
        <v>10847.510000000002</v>
      </c>
      <c r="Q20" s="12">
        <f>+Q19/8</f>
        <v>25000</v>
      </c>
    </row>
    <row r="21" spans="1:17" ht="13.5" customHeight="1" thickBot="1" x14ac:dyDescent="0.25">
      <c r="A21" s="49" t="s">
        <v>73</v>
      </c>
      <c r="B21" s="45"/>
      <c r="C21" s="46"/>
      <c r="D21" s="47"/>
      <c r="E21" s="47"/>
      <c r="F21" s="46"/>
      <c r="G21" s="47"/>
      <c r="H21" s="48"/>
    </row>
    <row r="22" spans="1:17" x14ac:dyDescent="0.2">
      <c r="A22" s="737" t="s">
        <v>60</v>
      </c>
      <c r="B22" s="738"/>
      <c r="C22" s="67" t="s">
        <v>13</v>
      </c>
      <c r="D22" s="68" t="s">
        <v>74</v>
      </c>
      <c r="E22" s="583"/>
      <c r="F22" s="67" t="s">
        <v>75</v>
      </c>
      <c r="G22" s="68" t="s">
        <v>64</v>
      </c>
      <c r="H22" s="16"/>
      <c r="I22" s="42"/>
    </row>
    <row r="23" spans="1:17" x14ac:dyDescent="0.2">
      <c r="A23" s="739" t="s">
        <v>36</v>
      </c>
      <c r="B23" s="740"/>
      <c r="C23" s="568" t="s">
        <v>13</v>
      </c>
      <c r="D23" s="17">
        <f>E23*22%</f>
        <v>33302.859546</v>
      </c>
      <c r="E23" s="582">
        <v>151376.63430000001</v>
      </c>
      <c r="F23" s="24">
        <v>0.125</v>
      </c>
      <c r="G23" s="17">
        <f t="shared" ref="G23:G35" si="2">D23*F23</f>
        <v>4162.85744325</v>
      </c>
      <c r="H23" s="16"/>
      <c r="I23" s="42"/>
    </row>
    <row r="24" spans="1:17" x14ac:dyDescent="0.2">
      <c r="A24" s="743" t="s">
        <v>53</v>
      </c>
      <c r="B24" s="744"/>
      <c r="C24" s="568" t="s">
        <v>13</v>
      </c>
      <c r="D24" s="17">
        <f t="shared" ref="D24:D35" si="3">E24*22%</f>
        <v>13595.631282200002</v>
      </c>
      <c r="E24" s="582">
        <v>61798.324010000004</v>
      </c>
      <c r="F24" s="24">
        <v>1</v>
      </c>
      <c r="G24" s="17">
        <f t="shared" si="2"/>
        <v>13595.631282200002</v>
      </c>
      <c r="H24" s="16"/>
      <c r="I24" s="42"/>
    </row>
    <row r="25" spans="1:17" x14ac:dyDescent="0.2">
      <c r="A25" s="743" t="s">
        <v>37</v>
      </c>
      <c r="B25" s="744"/>
      <c r="C25" s="568" t="s">
        <v>47</v>
      </c>
      <c r="D25" s="17">
        <f t="shared" si="3"/>
        <v>38039.590116000007</v>
      </c>
      <c r="E25" s="582">
        <v>172907.22780000002</v>
      </c>
      <c r="F25" s="24">
        <v>0.06</v>
      </c>
      <c r="G25" s="17">
        <f t="shared" si="2"/>
        <v>2282.3754069600004</v>
      </c>
      <c r="H25" s="16"/>
      <c r="I25" s="42"/>
    </row>
    <row r="26" spans="1:17" x14ac:dyDescent="0.2">
      <c r="A26" s="743" t="s">
        <v>76</v>
      </c>
      <c r="B26" s="744"/>
      <c r="C26" s="568" t="s">
        <v>47</v>
      </c>
      <c r="D26" s="17">
        <f t="shared" si="3"/>
        <v>8621.8212744400007</v>
      </c>
      <c r="E26" s="582">
        <v>39190.096702000003</v>
      </c>
      <c r="F26" s="24">
        <v>0.04</v>
      </c>
      <c r="G26" s="17">
        <f t="shared" si="2"/>
        <v>344.87285097760002</v>
      </c>
      <c r="H26" s="16"/>
      <c r="I26" s="42"/>
    </row>
    <row r="27" spans="1:17" x14ac:dyDescent="0.2">
      <c r="A27" s="743" t="s">
        <v>38</v>
      </c>
      <c r="B27" s="744"/>
      <c r="C27" s="568" t="s">
        <v>15</v>
      </c>
      <c r="D27" s="17">
        <f t="shared" si="3"/>
        <v>13034.098</v>
      </c>
      <c r="E27" s="582">
        <v>59245.9</v>
      </c>
      <c r="F27" s="24">
        <v>0.04</v>
      </c>
      <c r="G27" s="17">
        <f t="shared" si="2"/>
        <v>521.36392000000001</v>
      </c>
      <c r="H27" s="16"/>
      <c r="I27" s="42"/>
    </row>
    <row r="28" spans="1:17" x14ac:dyDescent="0.2">
      <c r="A28" s="743" t="s">
        <v>39</v>
      </c>
      <c r="B28" s="744"/>
      <c r="C28" s="568" t="s">
        <v>15</v>
      </c>
      <c r="D28" s="17">
        <f t="shared" si="3"/>
        <v>7536.5664000000006</v>
      </c>
      <c r="E28" s="582">
        <v>34257.120000000003</v>
      </c>
      <c r="F28" s="24">
        <v>0.04</v>
      </c>
      <c r="G28" s="17">
        <f t="shared" si="2"/>
        <v>301.46265600000004</v>
      </c>
      <c r="H28" s="16"/>
      <c r="I28" s="42"/>
    </row>
    <row r="29" spans="1:17" x14ac:dyDescent="0.2">
      <c r="A29" s="743" t="s">
        <v>40</v>
      </c>
      <c r="B29" s="744"/>
      <c r="C29" s="568" t="s">
        <v>48</v>
      </c>
      <c r="D29" s="17">
        <f t="shared" si="3"/>
        <v>2532.8148540200004</v>
      </c>
      <c r="E29" s="582">
        <v>11512.794791000002</v>
      </c>
      <c r="F29" s="24">
        <v>0.04</v>
      </c>
      <c r="G29" s="17">
        <f t="shared" si="2"/>
        <v>101.31259416080002</v>
      </c>
      <c r="H29" s="16"/>
      <c r="I29" s="42"/>
    </row>
    <row r="30" spans="1:17" x14ac:dyDescent="0.2">
      <c r="A30" s="743" t="s">
        <v>41</v>
      </c>
      <c r="B30" s="744"/>
      <c r="C30" s="568" t="s">
        <v>13</v>
      </c>
      <c r="D30" s="17">
        <f t="shared" si="3"/>
        <v>209.14487286000002</v>
      </c>
      <c r="E30" s="582">
        <v>950.65851300000008</v>
      </c>
      <c r="F30" s="24">
        <v>4</v>
      </c>
      <c r="G30" s="17">
        <f t="shared" si="2"/>
        <v>836.57949144000008</v>
      </c>
      <c r="H30" s="16"/>
      <c r="I30" s="42"/>
    </row>
    <row r="31" spans="1:17" x14ac:dyDescent="0.2">
      <c r="A31" s="743" t="s">
        <v>42</v>
      </c>
      <c r="B31" s="744"/>
      <c r="C31" s="568" t="s">
        <v>49</v>
      </c>
      <c r="D31" s="17">
        <f t="shared" si="3"/>
        <v>3837.4804894800004</v>
      </c>
      <c r="E31" s="582">
        <v>17443.093134000002</v>
      </c>
      <c r="F31" s="24">
        <v>3</v>
      </c>
      <c r="G31" s="17">
        <f t="shared" si="2"/>
        <v>11512.441468440002</v>
      </c>
      <c r="H31" s="16"/>
      <c r="I31" s="42"/>
      <c r="L31" s="25"/>
      <c r="Q31" s="12">
        <f>0.6*0.6</f>
        <v>0.36</v>
      </c>
    </row>
    <row r="32" spans="1:17" x14ac:dyDescent="0.2">
      <c r="A32" s="743" t="s">
        <v>43</v>
      </c>
      <c r="B32" s="745"/>
      <c r="C32" s="568" t="s">
        <v>49</v>
      </c>
      <c r="D32" s="17">
        <f t="shared" si="3"/>
        <v>2050.8828821800003</v>
      </c>
      <c r="E32" s="582">
        <v>9322.1949190000014</v>
      </c>
      <c r="F32" s="24">
        <v>1</v>
      </c>
      <c r="G32" s="17">
        <f t="shared" si="2"/>
        <v>2050.8828821800003</v>
      </c>
      <c r="H32" s="16"/>
      <c r="I32" s="42"/>
      <c r="L32" s="25"/>
    </row>
    <row r="33" spans="1:11" x14ac:dyDescent="0.2">
      <c r="A33" s="743" t="s">
        <v>44</v>
      </c>
      <c r="B33" s="745"/>
      <c r="C33" s="568" t="s">
        <v>50</v>
      </c>
      <c r="D33" s="17">
        <f t="shared" si="3"/>
        <v>11778.888704000003</v>
      </c>
      <c r="E33" s="582">
        <v>53540.403200000008</v>
      </c>
      <c r="F33" s="24">
        <v>0.1</v>
      </c>
      <c r="G33" s="26">
        <f t="shared" si="2"/>
        <v>1177.8888704000003</v>
      </c>
      <c r="H33" s="16"/>
    </row>
    <row r="34" spans="1:11" x14ac:dyDescent="0.2">
      <c r="A34" s="743" t="s">
        <v>45</v>
      </c>
      <c r="B34" s="745"/>
      <c r="C34" s="568" t="s">
        <v>51</v>
      </c>
      <c r="D34" s="17">
        <f t="shared" si="3"/>
        <v>18315.358204</v>
      </c>
      <c r="E34" s="582">
        <v>83251.628200000006</v>
      </c>
      <c r="F34" s="24">
        <v>1.6666666666666666E-2</v>
      </c>
      <c r="G34" s="26">
        <f t="shared" si="2"/>
        <v>305.25597006666669</v>
      </c>
      <c r="H34" s="16"/>
    </row>
    <row r="35" spans="1:11" x14ac:dyDescent="0.2">
      <c r="A35" s="750" t="s">
        <v>46</v>
      </c>
      <c r="B35" s="751"/>
      <c r="C35" s="568" t="s">
        <v>52</v>
      </c>
      <c r="D35" s="17">
        <f t="shared" si="3"/>
        <v>19724.231911999999</v>
      </c>
      <c r="E35" s="582">
        <v>89655.599600000001</v>
      </c>
      <c r="F35" s="24">
        <v>2.2222222222222223E-2</v>
      </c>
      <c r="G35" s="26">
        <f t="shared" si="2"/>
        <v>438.3162647111111</v>
      </c>
      <c r="H35" s="16"/>
    </row>
    <row r="36" spans="1:11" ht="13.5" thickBot="1" x14ac:dyDescent="0.25">
      <c r="A36" s="18"/>
      <c r="B36" s="19"/>
      <c r="C36" s="19"/>
      <c r="D36" s="20"/>
      <c r="E36" s="20"/>
      <c r="F36" s="19"/>
      <c r="G36" s="20" t="s">
        <v>72</v>
      </c>
      <c r="H36" s="43">
        <f>SUM(G23:G35)</f>
        <v>37631.241100786181</v>
      </c>
      <c r="J36" s="27"/>
    </row>
    <row r="37" spans="1:11" ht="13.5" thickBot="1" x14ac:dyDescent="0.25">
      <c r="A37" s="49" t="s">
        <v>77</v>
      </c>
      <c r="B37" s="50"/>
      <c r="C37" s="50"/>
      <c r="D37" s="51"/>
      <c r="E37" s="51"/>
      <c r="F37" s="50"/>
      <c r="G37" s="51"/>
      <c r="H37" s="52"/>
    </row>
    <row r="38" spans="1:11" x14ac:dyDescent="0.2">
      <c r="A38" s="66" t="s">
        <v>78</v>
      </c>
      <c r="B38" s="67" t="s">
        <v>79</v>
      </c>
      <c r="C38" s="67" t="s">
        <v>80</v>
      </c>
      <c r="D38" s="68" t="s">
        <v>81</v>
      </c>
      <c r="E38" s="583"/>
      <c r="F38" s="67" t="s">
        <v>63</v>
      </c>
      <c r="G38" s="68" t="s">
        <v>64</v>
      </c>
      <c r="H38" s="16"/>
    </row>
    <row r="39" spans="1:11" x14ac:dyDescent="0.2">
      <c r="A39" s="69" t="s">
        <v>82</v>
      </c>
      <c r="B39" s="28">
        <f>'Mano Obra 2016'!D16</f>
        <v>72806</v>
      </c>
      <c r="C39" s="302">
        <v>1.595</v>
      </c>
      <c r="D39" s="17">
        <f>B39*C39</f>
        <v>116125.56999999999</v>
      </c>
      <c r="E39" s="582"/>
      <c r="F39" s="29">
        <v>7</v>
      </c>
      <c r="G39" s="17">
        <f>D39/F39</f>
        <v>16589.367142857143</v>
      </c>
      <c r="H39" s="23"/>
    </row>
    <row r="40" spans="1:11" x14ac:dyDescent="0.2">
      <c r="A40" s="69" t="s">
        <v>86</v>
      </c>
      <c r="B40" s="28">
        <f>'Mano Obra 2016'!D8</f>
        <v>27578</v>
      </c>
      <c r="C40" s="302">
        <v>1.7815000000000001</v>
      </c>
      <c r="D40" s="17">
        <f>B40*C40</f>
        <v>49130.207000000002</v>
      </c>
      <c r="E40" s="582"/>
      <c r="F40" s="29">
        <v>7</v>
      </c>
      <c r="G40" s="17">
        <f>D40/F40</f>
        <v>7018.6010000000006</v>
      </c>
      <c r="H40" s="16"/>
    </row>
    <row r="41" spans="1:11" x14ac:dyDescent="0.2">
      <c r="A41" s="69" t="s">
        <v>83</v>
      </c>
      <c r="B41" s="28">
        <f>'Mano Obra 2016'!D11</f>
        <v>39644</v>
      </c>
      <c r="C41" s="302">
        <v>1.7202</v>
      </c>
      <c r="D41" s="17">
        <f>B41*C41</f>
        <v>68195.608800000002</v>
      </c>
      <c r="E41" s="582"/>
      <c r="F41" s="29">
        <v>7</v>
      </c>
      <c r="G41" s="17">
        <f>D41/F41</f>
        <v>9742.2298285714296</v>
      </c>
      <c r="H41" s="16"/>
    </row>
    <row r="42" spans="1:11" x14ac:dyDescent="0.2">
      <c r="A42" s="69" t="s">
        <v>84</v>
      </c>
      <c r="B42" s="28">
        <f>'Mano Obra 2016'!D10</f>
        <v>37920</v>
      </c>
      <c r="C42" s="302">
        <v>1.7264999999999999</v>
      </c>
      <c r="D42" s="17">
        <f>B42*C42</f>
        <v>65468.88</v>
      </c>
      <c r="E42" s="582"/>
      <c r="F42" s="29">
        <v>7</v>
      </c>
      <c r="G42" s="17">
        <f>D42/F42</f>
        <v>9352.6971428571433</v>
      </c>
      <c r="H42" s="16"/>
    </row>
    <row r="43" spans="1:11" x14ac:dyDescent="0.2">
      <c r="A43" s="69" t="s">
        <v>85</v>
      </c>
      <c r="B43" s="28">
        <f>'Mano Obra 2016'!D13</f>
        <v>60672</v>
      </c>
      <c r="C43" s="302">
        <v>1.5980000000000001</v>
      </c>
      <c r="D43" s="17">
        <f>+B43*C43</f>
        <v>96953.856</v>
      </c>
      <c r="E43" s="582"/>
      <c r="F43" s="29">
        <v>7</v>
      </c>
      <c r="G43" s="17">
        <f>+D43/F43</f>
        <v>13850.550857142856</v>
      </c>
      <c r="H43" s="16"/>
    </row>
    <row r="44" spans="1:11" x14ac:dyDescent="0.2">
      <c r="A44" s="69" t="s">
        <v>86</v>
      </c>
      <c r="B44" s="28">
        <f>'Mano Obra 2016'!D8</f>
        <v>27578</v>
      </c>
      <c r="C44" s="302">
        <v>1.7815000000000001</v>
      </c>
      <c r="D44" s="17">
        <f>B44*C44</f>
        <v>49130.207000000002</v>
      </c>
      <c r="E44" s="582"/>
      <c r="F44" s="29">
        <v>7</v>
      </c>
      <c r="G44" s="17">
        <f>D44/F44</f>
        <v>7018.6010000000006</v>
      </c>
      <c r="H44" s="16"/>
    </row>
    <row r="45" spans="1:11" x14ac:dyDescent="0.2">
      <c r="A45" s="69" t="s">
        <v>87</v>
      </c>
      <c r="B45" s="28">
        <f>'Mano Obra 2016'!D13</f>
        <v>60672</v>
      </c>
      <c r="C45" s="302">
        <v>1.5980000000000001</v>
      </c>
      <c r="D45" s="17">
        <f>B45*C45</f>
        <v>96953.856</v>
      </c>
      <c r="E45" s="582"/>
      <c r="F45" s="29">
        <v>7</v>
      </c>
      <c r="G45" s="17">
        <f>D45/F45</f>
        <v>13850.550857142856</v>
      </c>
      <c r="H45" s="16"/>
    </row>
    <row r="46" spans="1:11" x14ac:dyDescent="0.2">
      <c r="A46" s="30"/>
      <c r="B46" s="11"/>
      <c r="C46" s="11"/>
      <c r="D46" s="11"/>
      <c r="E46" s="11"/>
      <c r="F46" s="11"/>
      <c r="G46" s="11"/>
      <c r="H46" s="16"/>
    </row>
    <row r="47" spans="1:11" ht="13.5" thickBot="1" x14ac:dyDescent="0.25">
      <c r="A47" s="18"/>
      <c r="B47" s="19"/>
      <c r="C47" s="19"/>
      <c r="D47" s="20"/>
      <c r="E47" s="20"/>
      <c r="F47" s="19"/>
      <c r="G47" s="20" t="s">
        <v>72</v>
      </c>
      <c r="H47" s="22">
        <f>SUM(G39:G45)</f>
        <v>77422.597828571423</v>
      </c>
      <c r="K47" s="12" t="s">
        <v>427</v>
      </c>
    </row>
    <row r="48" spans="1:11" ht="13.5" customHeight="1" thickBot="1" x14ac:dyDescent="0.25">
      <c r="A48" s="18"/>
      <c r="B48" s="19"/>
      <c r="C48" s="752" t="s">
        <v>88</v>
      </c>
      <c r="D48" s="752"/>
      <c r="E48" s="752"/>
      <c r="F48" s="752"/>
      <c r="G48" s="753"/>
      <c r="H48" s="339">
        <f>+MROUND(SUM(H20:H47),1)</f>
        <v>125901</v>
      </c>
      <c r="K48" s="584">
        <f>H48*1.35</f>
        <v>169966.35</v>
      </c>
    </row>
    <row r="49" spans="1:11" ht="13.5" thickBot="1" x14ac:dyDescent="0.25">
      <c r="A49" s="49" t="s">
        <v>89</v>
      </c>
      <c r="B49" s="50"/>
      <c r="C49" s="50"/>
      <c r="D49" s="51"/>
      <c r="E49" s="51"/>
      <c r="F49" s="50"/>
      <c r="G49" s="51"/>
      <c r="H49" s="52"/>
    </row>
    <row r="50" spans="1:11" ht="15.75" x14ac:dyDescent="0.25">
      <c r="A50" s="754" t="s">
        <v>60</v>
      </c>
      <c r="B50" s="755"/>
      <c r="C50" s="755"/>
      <c r="D50" s="755"/>
      <c r="E50" s="567"/>
      <c r="F50" s="53" t="s">
        <v>90</v>
      </c>
      <c r="G50" s="54" t="s">
        <v>91</v>
      </c>
      <c r="H50" s="16"/>
      <c r="K50" s="580"/>
    </row>
    <row r="51" spans="1:11" x14ac:dyDescent="0.2">
      <c r="A51" s="756" t="s">
        <v>164</v>
      </c>
      <c r="B51" s="757"/>
      <c r="C51" s="757"/>
      <c r="D51" s="757"/>
      <c r="E51" s="567"/>
      <c r="F51" s="31">
        <v>0.35</v>
      </c>
      <c r="G51" s="32"/>
      <c r="H51" s="16"/>
    </row>
    <row r="52" spans="1:11" x14ac:dyDescent="0.2">
      <c r="A52" s="18"/>
      <c r="B52" s="19"/>
      <c r="C52" s="19"/>
      <c r="D52" s="19"/>
      <c r="E52" s="19"/>
      <c r="F52" s="19"/>
      <c r="G52" s="20" t="s">
        <v>72</v>
      </c>
      <c r="H52" s="22">
        <f>SUM(G51:G51)</f>
        <v>0</v>
      </c>
    </row>
    <row r="53" spans="1:11" x14ac:dyDescent="0.2">
      <c r="A53" s="746" t="s">
        <v>92</v>
      </c>
      <c r="B53" s="747"/>
      <c r="C53" s="747"/>
      <c r="D53" s="747"/>
      <c r="E53" s="761"/>
      <c r="F53" s="747"/>
      <c r="G53" s="747"/>
      <c r="H53" s="22">
        <f>+MROUND(H52+H48,1)</f>
        <v>125901</v>
      </c>
      <c r="J53" s="27"/>
    </row>
    <row r="54" spans="1:11" ht="13.5" thickBot="1" x14ac:dyDescent="0.25">
      <c r="A54" s="748" t="s">
        <v>93</v>
      </c>
      <c r="B54" s="749"/>
      <c r="C54" s="749"/>
      <c r="D54" s="749"/>
      <c r="E54" s="760"/>
      <c r="F54" s="749"/>
      <c r="G54" s="749"/>
      <c r="H54" s="33">
        <f>+H53</f>
        <v>125901</v>
      </c>
    </row>
    <row r="55" spans="1:11" s="78" customFormat="1" x14ac:dyDescent="0.2">
      <c r="A55" s="77"/>
      <c r="B55" s="77"/>
      <c r="C55" s="77"/>
      <c r="D55" s="77"/>
      <c r="E55" s="77"/>
      <c r="F55" s="77"/>
      <c r="G55" s="77"/>
      <c r="H55" s="77"/>
    </row>
    <row r="56" spans="1:11" s="1" customFormat="1" ht="68.25" customHeight="1" x14ac:dyDescent="0.25">
      <c r="D56" s="586" t="s">
        <v>420</v>
      </c>
      <c r="E56" s="330"/>
      <c r="H56" s="121"/>
      <c r="I56" s="2"/>
      <c r="J56" s="3"/>
    </row>
    <row r="57" spans="1:11" s="1" customFormat="1" ht="14.25" x14ac:dyDescent="0.25">
      <c r="D57" s="347" t="s">
        <v>434</v>
      </c>
      <c r="E57" s="326"/>
      <c r="G57" s="131"/>
      <c r="H57" s="36"/>
      <c r="J57" s="3"/>
    </row>
    <row r="58" spans="1:11" s="1" customFormat="1" x14ac:dyDescent="0.25">
      <c r="D58" s="326"/>
      <c r="E58" s="326"/>
      <c r="G58" s="131"/>
      <c r="H58" s="36"/>
      <c r="J58" s="3"/>
    </row>
    <row r="59" spans="1:11" s="1" customFormat="1" x14ac:dyDescent="0.25">
      <c r="A59" s="327"/>
      <c r="C59" s="2"/>
      <c r="D59" s="3"/>
      <c r="E59" s="3"/>
      <c r="F59" s="5"/>
      <c r="I59" s="2"/>
      <c r="J59" s="3"/>
    </row>
    <row r="60" spans="1:11" s="1" customFormat="1" x14ac:dyDescent="0.25">
      <c r="A60" s="328"/>
      <c r="D60" s="3"/>
      <c r="E60" s="3"/>
      <c r="G60" s="328"/>
      <c r="H60" s="3"/>
      <c r="I60" s="2"/>
      <c r="J60" s="3"/>
    </row>
    <row r="61" spans="1:11" s="78" customFormat="1" x14ac:dyDescent="0.2">
      <c r="A61" s="77"/>
      <c r="B61" s="77"/>
      <c r="C61" s="77"/>
      <c r="D61" s="77"/>
      <c r="E61" s="77"/>
      <c r="F61" s="77"/>
      <c r="G61" s="77"/>
      <c r="H61" s="77"/>
    </row>
    <row r="62" spans="1:11" x14ac:dyDescent="0.2">
      <c r="A62" s="34"/>
      <c r="B62" s="34"/>
      <c r="C62" s="34"/>
      <c r="D62" s="34"/>
      <c r="E62" s="34"/>
      <c r="F62" s="34"/>
      <c r="G62" s="34"/>
      <c r="H62" s="34"/>
    </row>
  </sheetData>
  <mergeCells count="38">
    <mergeCell ref="A54:G54"/>
    <mergeCell ref="A34:B34"/>
    <mergeCell ref="A35:B35"/>
    <mergeCell ref="C48:G48"/>
    <mergeCell ref="A50:D50"/>
    <mergeCell ref="A51:D51"/>
    <mergeCell ref="A53:G53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9:B19"/>
    <mergeCell ref="A9:F10"/>
    <mergeCell ref="G9:H9"/>
    <mergeCell ref="G10:H10"/>
    <mergeCell ref="A11:H11"/>
    <mergeCell ref="A12:B12"/>
    <mergeCell ref="A13:B13"/>
    <mergeCell ref="A14:B14"/>
    <mergeCell ref="A15:B15"/>
    <mergeCell ref="A16:B16"/>
    <mergeCell ref="A17:B17"/>
    <mergeCell ref="A18:B18"/>
    <mergeCell ref="A8:C8"/>
    <mergeCell ref="D8:H8"/>
    <mergeCell ref="A3:H3"/>
    <mergeCell ref="B4:H4"/>
    <mergeCell ref="B5:H5"/>
    <mergeCell ref="A6:H6"/>
    <mergeCell ref="A7:H7"/>
  </mergeCells>
  <printOptions horizontalCentered="1"/>
  <pageMargins left="0.74803149606299202" right="0.74803149606299202" top="0.98425196850393704" bottom="0.98425196850393704" header="0" footer="0"/>
  <pageSetup paperSize="5" scale="8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S105"/>
  <sheetViews>
    <sheetView topLeftCell="A26" workbookViewId="0">
      <selection activeCell="A2" sqref="A2"/>
    </sheetView>
  </sheetViews>
  <sheetFormatPr baseColWidth="10" defaultRowHeight="14.25" x14ac:dyDescent="0.2"/>
  <cols>
    <col min="1" max="1" width="11.42578125" style="135"/>
    <col min="2" max="2" width="8.42578125" style="200" bestFit="1" customWidth="1"/>
    <col min="3" max="3" width="33.85546875" style="201" customWidth="1"/>
    <col min="4" max="4" width="17.42578125" style="202" customWidth="1"/>
    <col min="5" max="7" width="17.42578125" style="201" customWidth="1"/>
    <col min="8" max="8" width="17.42578125" style="139" customWidth="1"/>
    <col min="9" max="9" width="17.42578125" style="140" customWidth="1"/>
    <col min="10" max="10" width="14.7109375" style="201" customWidth="1"/>
    <col min="11" max="11" width="34.42578125" style="135" customWidth="1"/>
    <col min="12" max="12" width="8.28515625" style="136" customWidth="1"/>
    <col min="13" max="13" width="8.42578125" style="135" customWidth="1"/>
    <col min="14" max="14" width="13.28515625" style="136" bestFit="1" customWidth="1"/>
    <col min="15" max="15" width="10.28515625" style="135" customWidth="1"/>
    <col min="16" max="16" width="12.42578125" style="135" customWidth="1"/>
    <col min="17" max="17" width="10.28515625" style="135" customWidth="1"/>
    <col min="18" max="18" width="12.140625" style="135" customWidth="1"/>
    <col min="19" max="19" width="10.28515625" style="135" customWidth="1"/>
    <col min="20" max="20" width="12.140625" style="135" customWidth="1"/>
    <col min="21" max="21" width="10.28515625" style="135" customWidth="1"/>
    <col min="22" max="22" width="12.42578125" style="136" customWidth="1"/>
    <col min="23" max="23" width="11.140625" style="135" customWidth="1"/>
    <col min="24" max="24" width="13.140625" style="135" customWidth="1"/>
    <col min="25" max="25" width="11.140625" style="135" customWidth="1"/>
    <col min="26" max="26" width="12.7109375" style="135" customWidth="1"/>
    <col min="27" max="27" width="11.140625" style="135" customWidth="1"/>
    <col min="28" max="28" width="12.28515625" style="135" customWidth="1"/>
    <col min="29" max="29" width="11.140625" style="135" customWidth="1"/>
    <col min="30" max="30" width="12.42578125" style="135" customWidth="1"/>
    <col min="31" max="31" width="9.42578125" style="135" customWidth="1"/>
    <col min="32" max="32" width="12.42578125" style="135" customWidth="1"/>
    <col min="33" max="33" width="9.42578125" style="135" customWidth="1"/>
    <col min="34" max="34" width="12.42578125" style="135" customWidth="1"/>
    <col min="35" max="35" width="9.7109375" style="135" customWidth="1"/>
    <col min="36" max="36" width="12" style="135" customWidth="1"/>
    <col min="37" max="37" width="9.42578125" style="135" customWidth="1"/>
    <col min="38" max="38" width="12.7109375" style="135" customWidth="1"/>
    <col min="39" max="39" width="9.42578125" style="135" customWidth="1"/>
    <col min="40" max="40" width="12.42578125" style="135" customWidth="1"/>
    <col min="41" max="41" width="10.42578125" style="135" customWidth="1"/>
    <col min="42" max="42" width="12.7109375" style="135" customWidth="1"/>
    <col min="43" max="43" width="11.42578125" style="135"/>
    <col min="44" max="44" width="12.42578125" style="135" customWidth="1"/>
    <col min="45" max="16384" width="11.42578125" style="135"/>
  </cols>
  <sheetData>
    <row r="1" spans="2:45" s="12" customFormat="1" ht="21.75" hidden="1" customHeight="1" x14ac:dyDescent="0.2">
      <c r="B1" s="764" t="s">
        <v>206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6"/>
    </row>
    <row r="2" spans="2:45" s="136" customFormat="1" ht="18.75" x14ac:dyDescent="0.3">
      <c r="B2" s="767" t="s">
        <v>96</v>
      </c>
      <c r="C2" s="768"/>
      <c r="D2" s="768"/>
      <c r="E2" s="768"/>
      <c r="F2" s="768"/>
      <c r="G2" s="768"/>
      <c r="H2" s="768"/>
      <c r="I2" s="769"/>
      <c r="J2" s="134"/>
      <c r="K2" s="135"/>
      <c r="M2" s="135"/>
      <c r="O2" s="135"/>
      <c r="P2" s="135"/>
      <c r="Q2" s="135"/>
      <c r="R2" s="135"/>
      <c r="S2" s="135"/>
      <c r="T2" s="135"/>
      <c r="U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5" s="136" customFormat="1" ht="18.75" x14ac:dyDescent="0.3">
      <c r="B3" s="770" t="s">
        <v>97</v>
      </c>
      <c r="C3" s="771"/>
      <c r="D3" s="771"/>
      <c r="E3" s="771"/>
      <c r="F3" s="771"/>
      <c r="G3" s="771"/>
      <c r="H3" s="771"/>
      <c r="I3" s="772"/>
      <c r="J3" s="134"/>
      <c r="K3" s="135"/>
      <c r="M3" s="135"/>
      <c r="O3" s="135"/>
      <c r="P3" s="135"/>
      <c r="Q3" s="135"/>
      <c r="R3" s="135"/>
      <c r="S3" s="135"/>
      <c r="T3" s="135"/>
      <c r="U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</row>
    <row r="4" spans="2:45" s="136" customFormat="1" ht="21" x14ac:dyDescent="0.35">
      <c r="B4" s="773" t="s">
        <v>335</v>
      </c>
      <c r="C4" s="774"/>
      <c r="D4" s="774"/>
      <c r="E4" s="774"/>
      <c r="F4" s="774"/>
      <c r="G4" s="774"/>
      <c r="H4" s="774"/>
      <c r="I4" s="775"/>
      <c r="J4" s="137"/>
      <c r="K4" s="135"/>
      <c r="M4" s="135"/>
      <c r="O4" s="135"/>
      <c r="P4" s="135"/>
      <c r="Q4" s="135"/>
      <c r="R4" s="135"/>
      <c r="S4" s="135"/>
      <c r="T4" s="135"/>
      <c r="U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5" s="136" customFormat="1" ht="15.75" customHeight="1" thickBot="1" x14ac:dyDescent="0.25">
      <c r="B5" s="776"/>
      <c r="C5" s="777"/>
      <c r="D5" s="777"/>
      <c r="E5" s="777"/>
      <c r="F5" s="777"/>
      <c r="G5" s="777"/>
      <c r="H5" s="777"/>
      <c r="I5" s="778"/>
      <c r="J5" s="135"/>
      <c r="K5" s="135"/>
      <c r="M5" s="135"/>
      <c r="O5" s="135"/>
      <c r="P5" s="135"/>
      <c r="Q5" s="135"/>
      <c r="R5" s="135"/>
      <c r="S5" s="135"/>
      <c r="T5" s="135"/>
      <c r="U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</row>
    <row r="6" spans="2:45" s="136" customFormat="1" ht="12.75" x14ac:dyDescent="0.2">
      <c r="B6" s="779" t="s">
        <v>98</v>
      </c>
      <c r="C6" s="781" t="s">
        <v>8</v>
      </c>
      <c r="D6" s="781" t="s">
        <v>99</v>
      </c>
      <c r="E6" s="783" t="s">
        <v>100</v>
      </c>
      <c r="F6" s="784" t="s">
        <v>101</v>
      </c>
      <c r="G6" s="360" t="s">
        <v>102</v>
      </c>
      <c r="H6" s="304" t="s">
        <v>103</v>
      </c>
      <c r="I6" s="305" t="s">
        <v>104</v>
      </c>
      <c r="J6" s="135"/>
      <c r="K6" s="135"/>
      <c r="M6" s="135"/>
      <c r="O6" s="135"/>
      <c r="P6" s="135"/>
      <c r="Q6" s="135"/>
      <c r="R6" s="135"/>
      <c r="S6" s="135"/>
      <c r="T6" s="135"/>
      <c r="U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</row>
    <row r="7" spans="2:45" s="136" customFormat="1" ht="13.5" thickBot="1" x14ac:dyDescent="0.25">
      <c r="B7" s="780"/>
      <c r="C7" s="782"/>
      <c r="D7" s="782"/>
      <c r="E7" s="782"/>
      <c r="F7" s="785" t="s">
        <v>105</v>
      </c>
      <c r="G7" s="299" t="s">
        <v>106</v>
      </c>
      <c r="H7" s="300" t="s">
        <v>99</v>
      </c>
      <c r="I7" s="301" t="s">
        <v>107</v>
      </c>
      <c r="J7" s="135"/>
      <c r="K7" s="135"/>
      <c r="M7" s="135"/>
      <c r="N7" s="141"/>
      <c r="O7" s="141"/>
      <c r="P7" s="141"/>
      <c r="Q7" s="141"/>
      <c r="R7" s="141"/>
      <c r="S7" s="141"/>
      <c r="T7" s="141"/>
      <c r="U7" s="141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2:45" s="136" customFormat="1" ht="15" thickTop="1" x14ac:dyDescent="0.2">
      <c r="B8" s="142">
        <v>30101</v>
      </c>
      <c r="C8" s="143" t="s">
        <v>108</v>
      </c>
      <c r="D8" s="144">
        <f>ROUND((N72)/30*T70,0)</f>
        <v>27578</v>
      </c>
      <c r="E8" s="145">
        <f>ROUND(U98-1,4)</f>
        <v>0.76959999999999995</v>
      </c>
      <c r="F8" s="365">
        <f>ROUND(D8*(1+E8),0)</f>
        <v>48802</v>
      </c>
      <c r="G8" s="146">
        <f>F8+9555</f>
        <v>58357</v>
      </c>
      <c r="H8" s="147">
        <f>T70</f>
        <v>1.2</v>
      </c>
      <c r="I8" s="148">
        <f>U98</f>
        <v>1.7695999999999996</v>
      </c>
      <c r="J8" s="149"/>
      <c r="K8" s="149"/>
      <c r="M8" s="135"/>
      <c r="N8" s="141"/>
      <c r="O8" s="141"/>
      <c r="P8" s="141"/>
      <c r="Q8" s="141"/>
      <c r="R8" s="141"/>
      <c r="S8" s="141"/>
      <c r="T8" s="141"/>
      <c r="U8" s="141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2:45" s="136" customFormat="1" x14ac:dyDescent="0.2">
      <c r="B9" s="150">
        <v>30102</v>
      </c>
      <c r="C9" s="151" t="s">
        <v>109</v>
      </c>
      <c r="D9" s="152">
        <f>ROUND(N72/30*V70,0)</f>
        <v>34473</v>
      </c>
      <c r="E9" s="153">
        <f>ROUND(W98-1,4)</f>
        <v>0.73170000000000002</v>
      </c>
      <c r="F9" s="366">
        <f t="shared" ref="F9:F15" si="0">ROUND(D9*(1+E9),0)</f>
        <v>59697</v>
      </c>
      <c r="G9" s="155">
        <f t="shared" ref="G9:G24" si="1">F9+9555</f>
        <v>69252</v>
      </c>
      <c r="H9" s="156">
        <f>V70</f>
        <v>1.5</v>
      </c>
      <c r="I9" s="157">
        <f>W98</f>
        <v>1.7316999999999998</v>
      </c>
      <c r="J9" s="135"/>
      <c r="K9" s="135"/>
      <c r="M9" s="135"/>
      <c r="N9" s="141"/>
      <c r="O9" s="141"/>
      <c r="P9" s="141"/>
      <c r="Q9" s="141"/>
      <c r="R9" s="141"/>
      <c r="S9" s="141"/>
      <c r="T9" s="141"/>
      <c r="U9" s="141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</row>
    <row r="10" spans="2:45" s="136" customFormat="1" x14ac:dyDescent="0.2">
      <c r="B10" s="150">
        <v>30103</v>
      </c>
      <c r="C10" s="151" t="s">
        <v>110</v>
      </c>
      <c r="D10" s="152">
        <f>ROUND(N72/30*X70,0)</f>
        <v>37920</v>
      </c>
      <c r="E10" s="153">
        <f>ROUND(Y98-1,4)</f>
        <v>0.71799999999999997</v>
      </c>
      <c r="F10" s="366">
        <f t="shared" si="0"/>
        <v>65147</v>
      </c>
      <c r="G10" s="155">
        <f t="shared" si="1"/>
        <v>74702</v>
      </c>
      <c r="H10" s="156">
        <f>X70</f>
        <v>1.65</v>
      </c>
      <c r="I10" s="157">
        <f>Y98</f>
        <v>1.7179999999999993</v>
      </c>
      <c r="J10" s="135"/>
      <c r="K10" s="135"/>
      <c r="M10" s="135"/>
      <c r="N10" s="141"/>
      <c r="O10" s="141"/>
      <c r="P10" s="141"/>
      <c r="Q10" s="141"/>
      <c r="R10" s="141"/>
      <c r="S10" s="141"/>
      <c r="T10" s="141"/>
      <c r="U10" s="141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2:45" s="136" customFormat="1" x14ac:dyDescent="0.2">
      <c r="B11" s="150">
        <v>30104</v>
      </c>
      <c r="C11" s="151" t="s">
        <v>111</v>
      </c>
      <c r="D11" s="152">
        <f>ROUND(N72/30*Z70,0)</f>
        <v>39644</v>
      </c>
      <c r="E11" s="153">
        <f>ROUND(AA98-1,4)</f>
        <v>0.71209999999999996</v>
      </c>
      <c r="F11" s="366">
        <f>ROUND(D11*(1+E11),0)</f>
        <v>67874</v>
      </c>
      <c r="G11" s="155">
        <f t="shared" si="1"/>
        <v>77429</v>
      </c>
      <c r="H11" s="156">
        <f>Z70</f>
        <v>1.7250000000000001</v>
      </c>
      <c r="I11" s="157">
        <f>AA98</f>
        <v>1.7120999999999997</v>
      </c>
      <c r="J11" s="135"/>
      <c r="K11" s="135"/>
      <c r="M11" s="135"/>
      <c r="N11" s="141"/>
      <c r="O11" s="141"/>
      <c r="P11" s="141"/>
      <c r="Q11" s="141"/>
      <c r="R11" s="141"/>
      <c r="S11" s="141"/>
      <c r="T11" s="141"/>
      <c r="U11" s="141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2:45" s="136" customFormat="1" x14ac:dyDescent="0.2">
      <c r="B12" s="150">
        <v>30105</v>
      </c>
      <c r="C12" s="151" t="s">
        <v>112</v>
      </c>
      <c r="D12" s="152">
        <f>ROUND(N72/30*V70,0)</f>
        <v>34473</v>
      </c>
      <c r="E12" s="153">
        <f>ROUND(W98-1,4)</f>
        <v>0.73170000000000002</v>
      </c>
      <c r="F12" s="366">
        <f t="shared" si="0"/>
        <v>59697</v>
      </c>
      <c r="G12" s="155">
        <f t="shared" si="1"/>
        <v>69252</v>
      </c>
      <c r="H12" s="156">
        <f>V70</f>
        <v>1.5</v>
      </c>
      <c r="I12" s="157">
        <f>W98</f>
        <v>1.7316999999999998</v>
      </c>
      <c r="J12" s="135"/>
      <c r="K12" s="135"/>
      <c r="M12" s="135"/>
      <c r="N12" s="141"/>
      <c r="O12" s="141"/>
      <c r="P12" s="141"/>
      <c r="Q12" s="141"/>
      <c r="R12" s="141"/>
      <c r="S12" s="141"/>
      <c r="T12" s="141"/>
      <c r="U12" s="141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2:45" s="136" customFormat="1" x14ac:dyDescent="0.2">
      <c r="B13" s="158">
        <v>30106</v>
      </c>
      <c r="C13" s="159" t="s">
        <v>113</v>
      </c>
      <c r="D13" s="160">
        <f>ROUND(D8*AF70,0)</f>
        <v>60672</v>
      </c>
      <c r="E13" s="161">
        <f>ROUND(AG98-1,4)</f>
        <v>0.59750000000000003</v>
      </c>
      <c r="F13" s="366">
        <f t="shared" si="0"/>
        <v>96924</v>
      </c>
      <c r="G13" s="160">
        <f t="shared" si="1"/>
        <v>106479</v>
      </c>
      <c r="H13" s="162">
        <f>AF70</f>
        <v>2.2000000000000002</v>
      </c>
      <c r="I13" s="163">
        <f>AG98</f>
        <v>1.5974999999999999</v>
      </c>
      <c r="J13" s="135"/>
      <c r="K13" s="135"/>
      <c r="M13" s="135"/>
      <c r="N13" s="141"/>
      <c r="O13" s="141"/>
      <c r="P13" s="141"/>
      <c r="Q13" s="141"/>
      <c r="R13" s="141"/>
      <c r="S13" s="141"/>
      <c r="T13" s="141"/>
      <c r="U13" s="141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2:45" s="136" customFormat="1" x14ac:dyDescent="0.2">
      <c r="B14" s="150">
        <v>30107</v>
      </c>
      <c r="C14" s="151" t="s">
        <v>114</v>
      </c>
      <c r="D14" s="152">
        <f>ROUND(D8*AH70,0)</f>
        <v>66739</v>
      </c>
      <c r="E14" s="153">
        <f>ROUND(AI98-1,4)</f>
        <v>0.59599999999999997</v>
      </c>
      <c r="F14" s="366">
        <f t="shared" si="0"/>
        <v>106515</v>
      </c>
      <c r="G14" s="155">
        <f t="shared" si="1"/>
        <v>116070</v>
      </c>
      <c r="H14" s="156">
        <f>AH70</f>
        <v>2.4200000000000004</v>
      </c>
      <c r="I14" s="157">
        <f>AI98</f>
        <v>1.5960000000000001</v>
      </c>
      <c r="J14" s="135"/>
      <c r="K14" s="135"/>
      <c r="M14" s="135"/>
      <c r="O14" s="141"/>
      <c r="P14" s="141"/>
      <c r="Q14" s="141"/>
      <c r="R14" s="141"/>
      <c r="S14" s="141"/>
      <c r="T14" s="141"/>
      <c r="U14" s="141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2:45" s="136" customFormat="1" x14ac:dyDescent="0.2">
      <c r="B15" s="150">
        <v>30108</v>
      </c>
      <c r="C15" s="151" t="s">
        <v>115</v>
      </c>
      <c r="D15" s="152">
        <f>ROUND(D8*AL70,0)</f>
        <v>69772</v>
      </c>
      <c r="E15" s="153">
        <f>ROUND(AM98-1,4)</f>
        <v>0.59519999999999995</v>
      </c>
      <c r="F15" s="366">
        <f t="shared" si="0"/>
        <v>111300</v>
      </c>
      <c r="G15" s="155">
        <f t="shared" si="1"/>
        <v>120855</v>
      </c>
      <c r="H15" s="156">
        <f>AL70</f>
        <v>2.5299999999999998</v>
      </c>
      <c r="I15" s="157">
        <f>AM98</f>
        <v>1.5952</v>
      </c>
      <c r="J15" s="135"/>
      <c r="K15" s="135"/>
      <c r="M15" s="135"/>
      <c r="N15" s="141"/>
      <c r="O15" s="141"/>
      <c r="P15" s="141"/>
      <c r="Q15" s="141"/>
      <c r="R15" s="141"/>
      <c r="S15" s="141"/>
      <c r="T15" s="141"/>
      <c r="U15" s="141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2:45" s="136" customFormat="1" x14ac:dyDescent="0.2">
      <c r="B16" s="150">
        <v>30109</v>
      </c>
      <c r="C16" s="151" t="s">
        <v>116</v>
      </c>
      <c r="D16" s="152">
        <f>ROUND(D8*AN70,0)</f>
        <v>72806</v>
      </c>
      <c r="E16" s="153">
        <f>ROUND(AO98-1,4)</f>
        <v>0.59460000000000002</v>
      </c>
      <c r="F16" s="366">
        <f>ROUND(D16*(1+E16),0)</f>
        <v>116096</v>
      </c>
      <c r="G16" s="155">
        <f t="shared" si="1"/>
        <v>125651</v>
      </c>
      <c r="H16" s="156">
        <f>AN70</f>
        <v>2.64</v>
      </c>
      <c r="I16" s="157">
        <f>AO98</f>
        <v>1.5946</v>
      </c>
      <c r="J16" s="135"/>
      <c r="K16" s="135"/>
      <c r="M16" s="135"/>
      <c r="N16" s="141"/>
      <c r="O16" s="141"/>
      <c r="P16" s="141"/>
      <c r="Q16" s="141"/>
      <c r="R16" s="141"/>
      <c r="S16" s="141"/>
      <c r="T16" s="141"/>
      <c r="U16" s="141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2:45" s="136" customFormat="1" x14ac:dyDescent="0.2">
      <c r="B17" s="150">
        <v>30110</v>
      </c>
      <c r="C17" s="151" t="s">
        <v>117</v>
      </c>
      <c r="D17" s="152">
        <f>ROUND(D8*AJ70,0)</f>
        <v>68945</v>
      </c>
      <c r="E17" s="153">
        <f>ROUND(AK98-1,4)</f>
        <v>0.59550000000000003</v>
      </c>
      <c r="F17" s="366">
        <f t="shared" ref="F17:F24" si="2">ROUND(D17*(1+E17),0)</f>
        <v>110002</v>
      </c>
      <c r="G17" s="155">
        <f t="shared" si="1"/>
        <v>119557</v>
      </c>
      <c r="H17" s="156">
        <f>AJ70</f>
        <v>2.5</v>
      </c>
      <c r="I17" s="157">
        <f>AK98</f>
        <v>1.5955000000000001</v>
      </c>
      <c r="J17" s="135"/>
      <c r="K17" s="135"/>
      <c r="M17" s="135"/>
      <c r="N17" s="141"/>
      <c r="O17" s="141"/>
      <c r="P17" s="141"/>
      <c r="Q17" s="141"/>
      <c r="R17" s="141"/>
      <c r="S17" s="141"/>
      <c r="T17" s="141"/>
      <c r="U17" s="141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2:45" s="136" customFormat="1" x14ac:dyDescent="0.2">
      <c r="B18" s="150">
        <v>30111</v>
      </c>
      <c r="C18" s="151" t="s">
        <v>118</v>
      </c>
      <c r="D18" s="152">
        <f>ROUND(D8*AJ70,0)</f>
        <v>68945</v>
      </c>
      <c r="E18" s="153">
        <f>ROUND(AK98-1,4)</f>
        <v>0.59550000000000003</v>
      </c>
      <c r="F18" s="366">
        <f t="shared" si="2"/>
        <v>110002</v>
      </c>
      <c r="G18" s="155">
        <f t="shared" si="1"/>
        <v>119557</v>
      </c>
      <c r="H18" s="156">
        <f>AJ70</f>
        <v>2.5</v>
      </c>
      <c r="I18" s="157">
        <f>AK98</f>
        <v>1.5955000000000001</v>
      </c>
      <c r="J18" s="135"/>
      <c r="K18" s="135"/>
      <c r="M18" s="135"/>
      <c r="N18" s="141"/>
      <c r="O18" s="135"/>
      <c r="P18" s="135"/>
      <c r="Q18" s="135"/>
      <c r="R18" s="135"/>
      <c r="S18" s="135"/>
      <c r="T18" s="135"/>
      <c r="U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2:45" s="136" customFormat="1" x14ac:dyDescent="0.2">
      <c r="B19" s="150">
        <v>30112</v>
      </c>
      <c r="C19" s="151" t="s">
        <v>119</v>
      </c>
      <c r="D19" s="152">
        <f>ROUND(D8*AR70,0)</f>
        <v>88250</v>
      </c>
      <c r="E19" s="153">
        <f>ROUND(AS98-1,4)</f>
        <v>0.59209999999999996</v>
      </c>
      <c r="F19" s="366">
        <f t="shared" si="2"/>
        <v>140503</v>
      </c>
      <c r="G19" s="155">
        <f t="shared" si="1"/>
        <v>150058</v>
      </c>
      <c r="H19" s="156">
        <f>AR70</f>
        <v>3.2</v>
      </c>
      <c r="I19" s="157">
        <f>AS98</f>
        <v>1.5920999999999998</v>
      </c>
      <c r="J19" s="135"/>
      <c r="K19" s="135"/>
      <c r="M19" s="135"/>
      <c r="N19" s="141"/>
      <c r="O19" s="141"/>
      <c r="P19" s="141"/>
      <c r="Q19" s="141"/>
      <c r="R19" s="141"/>
      <c r="S19" s="141"/>
      <c r="T19" s="141"/>
      <c r="U19" s="141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s="136" customFormat="1" x14ac:dyDescent="0.2">
      <c r="B20" s="158">
        <v>30113</v>
      </c>
      <c r="C20" s="159" t="s">
        <v>120</v>
      </c>
      <c r="D20" s="160">
        <f>ROUND(D8*AR70,0)</f>
        <v>88250</v>
      </c>
      <c r="E20" s="161">
        <f>ROUND(AS98-1,4)</f>
        <v>0.59209999999999996</v>
      </c>
      <c r="F20" s="366">
        <f t="shared" si="2"/>
        <v>140503</v>
      </c>
      <c r="G20" s="160">
        <f t="shared" si="1"/>
        <v>150058</v>
      </c>
      <c r="H20" s="162">
        <f>AR70</f>
        <v>3.2</v>
      </c>
      <c r="I20" s="163">
        <f>AS98</f>
        <v>1.5920999999999998</v>
      </c>
      <c r="J20" s="135"/>
      <c r="K20" s="135"/>
      <c r="M20" s="135"/>
      <c r="N20" s="141"/>
      <c r="O20" s="141"/>
      <c r="P20" s="141"/>
      <c r="Q20" s="141"/>
      <c r="R20" s="141"/>
      <c r="S20" s="141"/>
      <c r="T20" s="141"/>
      <c r="U20" s="141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2:45" s="136" customFormat="1" x14ac:dyDescent="0.2">
      <c r="B21" s="158">
        <v>30114</v>
      </c>
      <c r="C21" s="159" t="s">
        <v>121</v>
      </c>
      <c r="D21" s="160">
        <f>ROUND(D8*AB70,0)</f>
        <v>49640</v>
      </c>
      <c r="E21" s="161">
        <f>ROUND(AC98-1,4)</f>
        <v>0.70630000000000004</v>
      </c>
      <c r="F21" s="366">
        <f t="shared" si="2"/>
        <v>84701</v>
      </c>
      <c r="G21" s="160">
        <f t="shared" si="1"/>
        <v>94256</v>
      </c>
      <c r="H21" s="162">
        <f>AB70</f>
        <v>1.8</v>
      </c>
      <c r="I21" s="163">
        <f>AC98</f>
        <v>1.7062999999999999</v>
      </c>
      <c r="J21" s="135"/>
      <c r="K21" s="135"/>
      <c r="M21" s="135"/>
      <c r="N21" s="141"/>
      <c r="O21" s="141"/>
      <c r="P21" s="141"/>
      <c r="Q21" s="141"/>
      <c r="R21" s="141"/>
      <c r="S21" s="141"/>
      <c r="T21" s="141"/>
      <c r="U21" s="141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2:45" s="136" customFormat="1" ht="15" thickBot="1" x14ac:dyDescent="0.25">
      <c r="B22" s="150">
        <v>30115</v>
      </c>
      <c r="C22" s="151" t="s">
        <v>122</v>
      </c>
      <c r="D22" s="152">
        <f>ROUND(D8*AB70,0)</f>
        <v>49640</v>
      </c>
      <c r="E22" s="153">
        <f>ROUND(AC98-1,4)</f>
        <v>0.70630000000000004</v>
      </c>
      <c r="F22" s="366">
        <f t="shared" si="2"/>
        <v>84701</v>
      </c>
      <c r="G22" s="155">
        <f t="shared" si="1"/>
        <v>94256</v>
      </c>
      <c r="H22" s="156">
        <f>AB70</f>
        <v>1.8</v>
      </c>
      <c r="I22" s="157">
        <f>AC98</f>
        <v>1.7062999999999999</v>
      </c>
      <c r="J22" s="135"/>
      <c r="K22" s="135"/>
      <c r="M22" s="135"/>
      <c r="N22" s="141"/>
      <c r="O22" s="141"/>
      <c r="P22" s="141"/>
      <c r="Q22" s="141"/>
      <c r="R22" s="141"/>
      <c r="S22" s="141"/>
      <c r="T22" s="141"/>
      <c r="U22" s="141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2:45" s="136" customFormat="1" ht="15" thickBot="1" x14ac:dyDescent="0.25">
      <c r="B23" s="150">
        <v>30116</v>
      </c>
      <c r="C23" s="151" t="s">
        <v>123</v>
      </c>
      <c r="D23" s="152">
        <f>ROUND(D8*AD70,0)</f>
        <v>55156</v>
      </c>
      <c r="E23" s="153">
        <f>ROUND(AE98-1,4)</f>
        <v>0.69389999999999996</v>
      </c>
      <c r="F23" s="366">
        <f t="shared" si="2"/>
        <v>93429</v>
      </c>
      <c r="G23" s="155">
        <f t="shared" si="1"/>
        <v>102984</v>
      </c>
      <c r="H23" s="156">
        <f>AD70</f>
        <v>2</v>
      </c>
      <c r="I23" s="157">
        <f>AE98</f>
        <v>1.6938999999999997</v>
      </c>
      <c r="J23" s="135"/>
      <c r="K23" s="786" t="s">
        <v>336</v>
      </c>
      <c r="L23" s="787"/>
      <c r="M23" s="787"/>
      <c r="N23" s="788"/>
      <c r="O23" s="141"/>
      <c r="P23" s="141"/>
      <c r="Q23" s="141"/>
      <c r="R23" s="141"/>
      <c r="S23" s="141"/>
      <c r="T23" s="141"/>
      <c r="U23" s="141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2:45" s="136" customFormat="1" x14ac:dyDescent="0.2">
      <c r="B24" s="150">
        <v>30117</v>
      </c>
      <c r="C24" s="151" t="s">
        <v>124</v>
      </c>
      <c r="D24" s="152">
        <f>ROUND(D8*V70,0)</f>
        <v>41367</v>
      </c>
      <c r="E24" s="153">
        <f>ROUND(W98-1,4)</f>
        <v>0.73170000000000002</v>
      </c>
      <c r="F24" s="366">
        <f t="shared" si="2"/>
        <v>71635</v>
      </c>
      <c r="G24" s="164">
        <f t="shared" si="1"/>
        <v>81190</v>
      </c>
      <c r="H24" s="156">
        <f>V70</f>
        <v>1.5</v>
      </c>
      <c r="I24" s="157">
        <f>W98</f>
        <v>1.7316999999999998</v>
      </c>
      <c r="J24" s="149"/>
      <c r="K24" s="165" t="s">
        <v>125</v>
      </c>
      <c r="L24" s="166"/>
      <c r="M24" s="167"/>
      <c r="N24" s="168">
        <v>689454</v>
      </c>
      <c r="O24" s="141"/>
      <c r="P24" s="141"/>
      <c r="Q24" s="141"/>
      <c r="R24" s="141"/>
      <c r="S24" s="141"/>
      <c r="T24" s="141"/>
      <c r="U24" s="141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2:45" s="136" customFormat="1" x14ac:dyDescent="0.2">
      <c r="B25" s="150">
        <v>30118</v>
      </c>
      <c r="C25" s="151" t="s">
        <v>126</v>
      </c>
      <c r="D25" s="152">
        <f>ROUND(D8*7,0)</f>
        <v>193046</v>
      </c>
      <c r="E25" s="151"/>
      <c r="F25" s="367"/>
      <c r="G25" s="169"/>
      <c r="H25" s="170"/>
      <c r="I25" s="171"/>
      <c r="J25" s="135"/>
      <c r="K25" s="172" t="s">
        <v>127</v>
      </c>
      <c r="L25" s="361"/>
      <c r="M25" s="173"/>
      <c r="N25" s="174">
        <v>77700</v>
      </c>
      <c r="O25" s="141"/>
      <c r="P25" s="141"/>
      <c r="Q25" s="141"/>
      <c r="R25" s="141"/>
      <c r="S25" s="141"/>
      <c r="T25" s="141"/>
      <c r="U25" s="141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s="136" customFormat="1" x14ac:dyDescent="0.2">
      <c r="B26" s="150">
        <v>30119</v>
      </c>
      <c r="C26" s="151" t="s">
        <v>128</v>
      </c>
      <c r="D26" s="152">
        <f>ROUND(D8+D13,0)</f>
        <v>88250</v>
      </c>
      <c r="E26" s="153">
        <f>ROUND((E8+E13)/2,4)</f>
        <v>0.68359999999999999</v>
      </c>
      <c r="F26" s="366">
        <f>ROUND(F8+F13,0)</f>
        <v>145726</v>
      </c>
      <c r="G26" s="154">
        <f>F26+(9555*2)</f>
        <v>164836</v>
      </c>
      <c r="H26" s="170"/>
      <c r="I26" s="171"/>
      <c r="J26" s="135"/>
      <c r="K26" s="172" t="s">
        <v>129</v>
      </c>
      <c r="L26" s="361"/>
      <c r="M26" s="173"/>
      <c r="N26" s="174">
        <f>ROUND(N24/30/8,0)</f>
        <v>2873</v>
      </c>
      <c r="O26" s="141"/>
      <c r="P26" s="141"/>
      <c r="Q26" s="141"/>
      <c r="R26" s="141"/>
      <c r="S26" s="141"/>
      <c r="T26" s="141"/>
      <c r="U26" s="141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s="136" customFormat="1" x14ac:dyDescent="0.2">
      <c r="B27" s="150">
        <v>30120</v>
      </c>
      <c r="C27" s="151" t="s">
        <v>130</v>
      </c>
      <c r="D27" s="152">
        <f>ROUND(D9+D14,0)</f>
        <v>101212</v>
      </c>
      <c r="E27" s="153">
        <f>ROUND((E9+E14)/2,4)</f>
        <v>0.66390000000000005</v>
      </c>
      <c r="F27" s="366">
        <f>ROUND(F9+F14,0)</f>
        <v>166212</v>
      </c>
      <c r="G27" s="154">
        <f>F27+(9555*2)</f>
        <v>185322</v>
      </c>
      <c r="H27" s="170"/>
      <c r="I27" s="171"/>
      <c r="J27" s="135"/>
      <c r="K27" s="172" t="s">
        <v>131</v>
      </c>
      <c r="L27" s="361"/>
      <c r="M27" s="173"/>
      <c r="N27" s="174">
        <f>ROUND(N26*1.35,0)</f>
        <v>3879</v>
      </c>
      <c r="O27" s="141"/>
      <c r="P27" s="141"/>
      <c r="Q27" s="141"/>
      <c r="R27" s="141"/>
      <c r="S27" s="141"/>
      <c r="T27" s="141"/>
      <c r="U27" s="141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2:45" s="136" customFormat="1" x14ac:dyDescent="0.2">
      <c r="B28" s="150">
        <v>30121</v>
      </c>
      <c r="C28" s="151" t="s">
        <v>132</v>
      </c>
      <c r="D28" s="152">
        <f>ROUND(D10+D15,0)</f>
        <v>107692</v>
      </c>
      <c r="E28" s="153">
        <f>ROUND((E10+E15)/2,4)</f>
        <v>0.65659999999999996</v>
      </c>
      <c r="F28" s="366">
        <f>ROUND(F10+F15,0)</f>
        <v>176447</v>
      </c>
      <c r="G28" s="154">
        <f>F28+(9555*2)</f>
        <v>195557</v>
      </c>
      <c r="H28" s="170"/>
      <c r="I28" s="171"/>
      <c r="J28" s="135"/>
      <c r="K28" s="172" t="s">
        <v>133</v>
      </c>
      <c r="L28" s="361"/>
      <c r="M28" s="173"/>
      <c r="N28" s="174">
        <f>ROUND(N26*1.75,0)</f>
        <v>5028</v>
      </c>
      <c r="O28" s="141"/>
      <c r="P28" s="141"/>
      <c r="Q28" s="141"/>
      <c r="R28" s="141"/>
      <c r="S28" s="141"/>
      <c r="T28" s="141"/>
      <c r="U28" s="141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2:45" s="136" customFormat="1" x14ac:dyDescent="0.2">
      <c r="B29" s="150">
        <v>30122</v>
      </c>
      <c r="C29" s="151" t="s">
        <v>134</v>
      </c>
      <c r="D29" s="152">
        <f>ROUND(D11+D16,0)</f>
        <v>112450</v>
      </c>
      <c r="E29" s="153">
        <f>ROUND((E11+E16)/2,4)</f>
        <v>0.65339999999999998</v>
      </c>
      <c r="F29" s="366">
        <f>ROUND(F11+F16,0)</f>
        <v>183970</v>
      </c>
      <c r="G29" s="154">
        <f>F29+(9555*2)</f>
        <v>203080</v>
      </c>
      <c r="H29" s="170"/>
      <c r="I29" s="171"/>
      <c r="J29" s="135"/>
      <c r="K29" s="172" t="s">
        <v>135</v>
      </c>
      <c r="L29" s="361"/>
      <c r="M29" s="173"/>
      <c r="N29" s="174">
        <f>ROUND(N26*2.1,0)</f>
        <v>6033</v>
      </c>
      <c r="O29" s="141"/>
      <c r="P29" s="141"/>
      <c r="Q29" s="141"/>
      <c r="R29" s="141"/>
      <c r="S29" s="141"/>
      <c r="T29" s="141"/>
      <c r="U29" s="141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2:45" s="136" customFormat="1" x14ac:dyDescent="0.2">
      <c r="B30" s="150">
        <v>30123</v>
      </c>
      <c r="C30" s="151" t="s">
        <v>136</v>
      </c>
      <c r="D30" s="152">
        <f>ROUND((D8+D12+D13),0)</f>
        <v>122723</v>
      </c>
      <c r="E30" s="153">
        <f>ROUND((E8+E12+E13)/3,4)</f>
        <v>0.6996</v>
      </c>
      <c r="F30" s="366">
        <f>ROUND((F8+F12+F13),0)</f>
        <v>205423</v>
      </c>
      <c r="G30" s="154">
        <f>F30+(9555*3)</f>
        <v>234088</v>
      </c>
      <c r="H30" s="170"/>
      <c r="I30" s="171"/>
      <c r="J30" s="135"/>
      <c r="K30" s="172" t="s">
        <v>137</v>
      </c>
      <c r="L30" s="361"/>
      <c r="M30" s="173"/>
      <c r="N30" s="174">
        <f>ROUND(N26*1.25,0)</f>
        <v>3591</v>
      </c>
      <c r="O30" s="141"/>
      <c r="P30" s="141"/>
      <c r="Q30" s="141"/>
      <c r="R30" s="141"/>
      <c r="S30" s="141"/>
      <c r="T30" s="141"/>
      <c r="U30" s="141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2:45" s="136" customFormat="1" x14ac:dyDescent="0.2">
      <c r="B31" s="150">
        <v>30124</v>
      </c>
      <c r="C31" s="151" t="s">
        <v>138</v>
      </c>
      <c r="D31" s="152">
        <f>ROUND((D8+D21+D20),0)</f>
        <v>165468</v>
      </c>
      <c r="E31" s="153">
        <f>ROUND((E9+E13+E14)/3,4)</f>
        <v>0.64170000000000005</v>
      </c>
      <c r="F31" s="366">
        <f>ROUND((F8+F21+F20),0)</f>
        <v>274006</v>
      </c>
      <c r="G31" s="154">
        <f>F31+(9555*3)</f>
        <v>302671</v>
      </c>
      <c r="H31" s="170"/>
      <c r="I31" s="171"/>
      <c r="J31" s="135"/>
      <c r="K31" s="172" t="s">
        <v>139</v>
      </c>
      <c r="L31" s="361"/>
      <c r="M31" s="173"/>
      <c r="N31" s="174">
        <f>ROUND(N26*1.75,0)</f>
        <v>5028</v>
      </c>
      <c r="O31" s="141"/>
      <c r="P31" s="141"/>
      <c r="Q31" s="141"/>
      <c r="R31" s="141"/>
      <c r="S31" s="141"/>
      <c r="T31" s="141"/>
      <c r="U31" s="141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2:45" s="136" customFormat="1" x14ac:dyDescent="0.2">
      <c r="B32" s="150">
        <v>30125</v>
      </c>
      <c r="C32" s="151" t="s">
        <v>140</v>
      </c>
      <c r="D32" s="152">
        <f>ROUND((3*D8+D13),0)</f>
        <v>143406</v>
      </c>
      <c r="E32" s="153">
        <f>ROUND((E10+E14+E15)/3,4)</f>
        <v>0.63639999999999997</v>
      </c>
      <c r="F32" s="366">
        <f>ROUND((3*F8+F13),0)</f>
        <v>243330</v>
      </c>
      <c r="G32" s="154">
        <f>F32+(9555*4)</f>
        <v>281550</v>
      </c>
      <c r="H32" s="170"/>
      <c r="I32" s="171"/>
      <c r="J32" s="135"/>
      <c r="K32" s="172" t="s">
        <v>141</v>
      </c>
      <c r="L32" s="361"/>
      <c r="M32" s="173"/>
      <c r="N32" s="174">
        <f>ROUND(N26*2,0)</f>
        <v>5746</v>
      </c>
      <c r="O32" s="135"/>
      <c r="P32" s="135"/>
      <c r="Q32" s="135"/>
      <c r="R32" s="135"/>
      <c r="S32" s="135"/>
      <c r="T32" s="135"/>
      <c r="U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s="136" customFormat="1" ht="15" thickBot="1" x14ac:dyDescent="0.25">
      <c r="B33" s="175">
        <v>30126</v>
      </c>
      <c r="C33" s="176" t="s">
        <v>142</v>
      </c>
      <c r="D33" s="177">
        <f>ROUND((N72)/30*T70,0)</f>
        <v>27578</v>
      </c>
      <c r="E33" s="178">
        <f>ROUND(W98-1,4)</f>
        <v>0.73170000000000002</v>
      </c>
      <c r="F33" s="368">
        <f>ROUND(D8*(1+E8),0)</f>
        <v>48802</v>
      </c>
      <c r="G33" s="179">
        <f>F33+(9555)</f>
        <v>58357</v>
      </c>
      <c r="H33" s="170"/>
      <c r="I33" s="171"/>
      <c r="J33" s="135"/>
      <c r="K33" s="180" t="s">
        <v>143</v>
      </c>
      <c r="L33" s="181"/>
      <c r="M33" s="182"/>
      <c r="N33" s="183">
        <f>ROUND(N26*2.5,0)</f>
        <v>7183</v>
      </c>
      <c r="O33" s="135"/>
      <c r="P33" s="135"/>
      <c r="Q33" s="135"/>
      <c r="R33" s="135"/>
      <c r="S33" s="135"/>
      <c r="T33" s="135"/>
      <c r="U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5" thickBot="1" x14ac:dyDescent="0.25">
      <c r="B34" s="184"/>
      <c r="C34" s="185" t="s">
        <v>144</v>
      </c>
      <c r="D34" s="186"/>
      <c r="E34" s="187"/>
      <c r="F34" s="369">
        <v>142650</v>
      </c>
      <c r="G34" s="188">
        <f>F34+(9555)</f>
        <v>152205</v>
      </c>
      <c r="H34" s="189"/>
      <c r="I34" s="190"/>
      <c r="J34" s="135"/>
      <c r="K34" s="191"/>
      <c r="L34" s="192"/>
      <c r="M34" s="191"/>
      <c r="N34" s="193"/>
    </row>
    <row r="35" spans="2:45" ht="15" thickTop="1" x14ac:dyDescent="0.2">
      <c r="B35" s="138"/>
      <c r="C35" s="194"/>
      <c r="D35" s="195"/>
      <c r="E35" s="196"/>
      <c r="F35" s="197"/>
      <c r="G35" s="197"/>
      <c r="H35" s="198"/>
      <c r="I35" s="199"/>
      <c r="J35" s="197"/>
      <c r="K35" s="191"/>
      <c r="L35" s="192"/>
      <c r="M35" s="191"/>
      <c r="N35" s="193"/>
    </row>
    <row r="36" spans="2:45" ht="15" thickBot="1" x14ac:dyDescent="0.25">
      <c r="H36" s="198"/>
      <c r="I36" s="199"/>
    </row>
    <row r="37" spans="2:45" ht="17.25" thickTop="1" thickBot="1" x14ac:dyDescent="0.3">
      <c r="F37" s="203"/>
      <c r="G37" s="203"/>
      <c r="H37" s="204"/>
      <c r="I37" s="205"/>
      <c r="J37" s="203"/>
      <c r="K37" s="789" t="s">
        <v>145</v>
      </c>
      <c r="L37" s="790"/>
      <c r="M37" s="791"/>
    </row>
    <row r="38" spans="2:45" ht="15.75" thickTop="1" thickBot="1" x14ac:dyDescent="0.25">
      <c r="F38" s="203"/>
      <c r="G38" s="203"/>
      <c r="H38" s="204"/>
      <c r="I38" s="205"/>
      <c r="J38" s="203"/>
      <c r="K38" s="792" t="s">
        <v>8</v>
      </c>
      <c r="L38" s="793"/>
      <c r="M38" s="206" t="s">
        <v>181</v>
      </c>
    </row>
    <row r="39" spans="2:45" ht="15" thickTop="1" x14ac:dyDescent="0.2">
      <c r="F39" s="203"/>
      <c r="G39" s="203"/>
      <c r="H39" s="204"/>
      <c r="I39" s="205"/>
      <c r="J39" s="203"/>
      <c r="K39" s="794" t="s">
        <v>146</v>
      </c>
      <c r="L39" s="795"/>
      <c r="M39" s="207">
        <v>8.33</v>
      </c>
    </row>
    <row r="40" spans="2:45" x14ac:dyDescent="0.2">
      <c r="F40" s="203"/>
      <c r="G40" s="203"/>
      <c r="H40" s="204"/>
      <c r="I40" s="205"/>
      <c r="J40" s="203"/>
      <c r="K40" s="762" t="s">
        <v>147</v>
      </c>
      <c r="L40" s="763"/>
      <c r="M40" s="208">
        <v>12</v>
      </c>
    </row>
    <row r="41" spans="2:45" x14ac:dyDescent="0.2">
      <c r="F41" s="203"/>
      <c r="G41" s="203"/>
      <c r="H41" s="204"/>
      <c r="I41" s="205"/>
      <c r="J41" s="203"/>
      <c r="K41" s="762" t="s">
        <v>148</v>
      </c>
      <c r="L41" s="763"/>
      <c r="M41" s="208">
        <v>4.17</v>
      </c>
    </row>
    <row r="42" spans="2:45" x14ac:dyDescent="0.2">
      <c r="F42" s="203"/>
      <c r="G42" s="203"/>
      <c r="H42" s="204"/>
      <c r="I42" s="205"/>
      <c r="J42" s="203"/>
      <c r="K42" s="762" t="s">
        <v>149</v>
      </c>
      <c r="L42" s="763"/>
      <c r="M42" s="208">
        <v>8.33</v>
      </c>
    </row>
    <row r="43" spans="2:45" x14ac:dyDescent="0.2">
      <c r="F43" s="203"/>
      <c r="G43" s="203"/>
      <c r="H43" s="204"/>
      <c r="I43" s="205"/>
      <c r="J43" s="203"/>
      <c r="K43" s="762" t="s">
        <v>150</v>
      </c>
      <c r="L43" s="763"/>
      <c r="M43" s="208">
        <v>11.69</v>
      </c>
    </row>
    <row r="44" spans="2:45" x14ac:dyDescent="0.2">
      <c r="F44" s="203"/>
      <c r="G44" s="203"/>
      <c r="H44" s="204"/>
      <c r="I44" s="205"/>
      <c r="J44" s="203"/>
      <c r="K44" s="762" t="s">
        <v>151</v>
      </c>
      <c r="L44" s="763"/>
      <c r="M44" s="208">
        <v>2</v>
      </c>
    </row>
    <row r="45" spans="2:45" x14ac:dyDescent="0.2">
      <c r="F45" s="203"/>
      <c r="G45" s="203"/>
      <c r="H45" s="204"/>
      <c r="I45" s="205"/>
      <c r="J45" s="203"/>
      <c r="K45" s="762" t="s">
        <v>152</v>
      </c>
      <c r="L45" s="763"/>
      <c r="M45" s="208">
        <v>3</v>
      </c>
    </row>
    <row r="46" spans="2:45" x14ac:dyDescent="0.2">
      <c r="F46" s="203"/>
      <c r="G46" s="203"/>
      <c r="H46" s="204"/>
      <c r="I46" s="205"/>
      <c r="J46" s="203"/>
      <c r="K46" s="762" t="s">
        <v>153</v>
      </c>
      <c r="L46" s="763"/>
      <c r="M46" s="208">
        <v>4</v>
      </c>
    </row>
    <row r="47" spans="2:45" x14ac:dyDescent="0.2">
      <c r="F47" s="203"/>
      <c r="G47" s="203"/>
      <c r="H47" s="204"/>
      <c r="I47" s="205"/>
      <c r="J47" s="203"/>
      <c r="K47" s="762" t="s">
        <v>154</v>
      </c>
      <c r="L47" s="763"/>
      <c r="M47" s="208">
        <v>8.5</v>
      </c>
    </row>
    <row r="48" spans="2:45" x14ac:dyDescent="0.2">
      <c r="F48" s="209"/>
      <c r="G48" s="209"/>
      <c r="H48" s="210"/>
      <c r="I48" s="211"/>
      <c r="J48" s="209"/>
      <c r="K48" s="762" t="s">
        <v>155</v>
      </c>
      <c r="L48" s="763"/>
      <c r="M48" s="208">
        <v>12</v>
      </c>
    </row>
    <row r="49" spans="3:13" x14ac:dyDescent="0.2">
      <c r="F49" s="209"/>
      <c r="G49" s="209"/>
      <c r="H49" s="210"/>
      <c r="I49" s="211"/>
      <c r="J49" s="209"/>
      <c r="K49" s="762" t="s">
        <v>156</v>
      </c>
      <c r="L49" s="763"/>
      <c r="M49" s="208">
        <v>6.96</v>
      </c>
    </row>
    <row r="50" spans="3:13" x14ac:dyDescent="0.2">
      <c r="K50" s="762" t="s">
        <v>157</v>
      </c>
      <c r="L50" s="763"/>
      <c r="M50" s="208">
        <v>3</v>
      </c>
    </row>
    <row r="51" spans="3:13" x14ac:dyDescent="0.2">
      <c r="K51" s="762" t="s">
        <v>158</v>
      </c>
      <c r="L51" s="763"/>
      <c r="M51" s="208">
        <f>1/40*100</f>
        <v>2.5</v>
      </c>
    </row>
    <row r="52" spans="3:13" ht="15" thickBot="1" x14ac:dyDescent="0.25">
      <c r="K52" s="798" t="s">
        <v>159</v>
      </c>
      <c r="L52" s="799"/>
      <c r="M52" s="212">
        <f>SUM(M39:M51)</f>
        <v>86.47999999999999</v>
      </c>
    </row>
    <row r="53" spans="3:13" ht="15" thickTop="1" x14ac:dyDescent="0.2">
      <c r="K53" s="796" t="s">
        <v>164</v>
      </c>
      <c r="L53" s="797"/>
      <c r="M53" s="213">
        <v>0</v>
      </c>
    </row>
    <row r="54" spans="3:13" ht="15" thickBot="1" x14ac:dyDescent="0.25">
      <c r="K54" s="802" t="s">
        <v>165</v>
      </c>
      <c r="L54" s="803"/>
      <c r="M54" s="214">
        <v>0.05</v>
      </c>
    </row>
    <row r="55" spans="3:13" ht="15" thickTop="1" x14ac:dyDescent="0.2">
      <c r="C55" s="192"/>
      <c r="D55" s="192"/>
      <c r="E55" s="215"/>
    </row>
    <row r="56" spans="3:13" x14ac:dyDescent="0.2">
      <c r="G56" s="216"/>
      <c r="H56" s="217"/>
      <c r="I56" s="218"/>
    </row>
    <row r="57" spans="3:13" x14ac:dyDescent="0.2">
      <c r="G57" s="220"/>
      <c r="H57" s="217"/>
      <c r="I57" s="218"/>
    </row>
    <row r="58" spans="3:13" x14ac:dyDescent="0.2">
      <c r="G58" s="193"/>
    </row>
    <row r="59" spans="3:13" x14ac:dyDescent="0.2">
      <c r="G59" s="193"/>
    </row>
    <row r="60" spans="3:13" x14ac:dyDescent="0.2">
      <c r="G60" s="193"/>
    </row>
    <row r="61" spans="3:13" ht="15" thickBot="1" x14ac:dyDescent="0.25">
      <c r="G61" s="193"/>
    </row>
    <row r="62" spans="3:13" ht="15" thickTop="1" x14ac:dyDescent="0.2">
      <c r="C62" s="804" t="s">
        <v>297</v>
      </c>
      <c r="D62" s="805"/>
      <c r="E62" s="805"/>
      <c r="F62" s="805"/>
      <c r="G62" s="806"/>
      <c r="J62" s="193"/>
    </row>
    <row r="63" spans="3:13" x14ac:dyDescent="0.2">
      <c r="C63" s="807" t="s">
        <v>125</v>
      </c>
      <c r="D63" s="808"/>
      <c r="E63" s="361"/>
      <c r="F63" s="173"/>
      <c r="G63" s="219">
        <v>644336</v>
      </c>
      <c r="J63" s="193"/>
    </row>
    <row r="64" spans="3:13" x14ac:dyDescent="0.2">
      <c r="C64" s="807" t="s">
        <v>127</v>
      </c>
      <c r="D64" s="808"/>
      <c r="E64" s="361"/>
      <c r="F64" s="173"/>
      <c r="G64" s="219">
        <v>73240</v>
      </c>
      <c r="J64" s="193"/>
    </row>
    <row r="65" spans="3:45" x14ac:dyDescent="0.2">
      <c r="C65" s="807" t="s">
        <v>129</v>
      </c>
      <c r="D65" s="808"/>
      <c r="E65" s="361"/>
      <c r="F65" s="173"/>
      <c r="G65" s="219">
        <f>ROUND(G63/30/8,0)</f>
        <v>2685</v>
      </c>
      <c r="J65" s="193"/>
    </row>
    <row r="66" spans="3:45" x14ac:dyDescent="0.2">
      <c r="C66" s="807" t="s">
        <v>131</v>
      </c>
      <c r="D66" s="808"/>
      <c r="E66" s="361"/>
      <c r="F66" s="173"/>
      <c r="G66" s="219">
        <f>ROUND(G65*1.35,0)</f>
        <v>3625</v>
      </c>
      <c r="J66" s="193"/>
    </row>
    <row r="67" spans="3:45" x14ac:dyDescent="0.2">
      <c r="C67" s="807" t="s">
        <v>133</v>
      </c>
      <c r="D67" s="808"/>
      <c r="E67" s="361"/>
      <c r="F67" s="173"/>
      <c r="G67" s="219">
        <f>ROUND(G65*1.75,0)</f>
        <v>4699</v>
      </c>
    </row>
    <row r="68" spans="3:45" x14ac:dyDescent="0.2">
      <c r="C68" s="807" t="s">
        <v>135</v>
      </c>
      <c r="D68" s="808"/>
      <c r="E68" s="361"/>
      <c r="F68" s="173"/>
      <c r="G68" s="219">
        <f>ROUND(G65*2.1,0)</f>
        <v>5639</v>
      </c>
      <c r="K68" s="223" t="s">
        <v>160</v>
      </c>
      <c r="L68" s="224"/>
      <c r="M68" s="223"/>
      <c r="N68" s="225" t="s">
        <v>161</v>
      </c>
      <c r="O68" s="226">
        <v>73240</v>
      </c>
      <c r="P68" s="227" t="s">
        <v>162</v>
      </c>
      <c r="Q68" s="228">
        <f>S68*365</f>
        <v>891086.66666666674</v>
      </c>
      <c r="R68" s="361" t="s">
        <v>163</v>
      </c>
      <c r="S68" s="229">
        <f>O68/30</f>
        <v>2441.3333333333335</v>
      </c>
      <c r="T68" s="230"/>
      <c r="U68" s="231"/>
      <c r="AR68" s="232"/>
    </row>
    <row r="69" spans="3:45" x14ac:dyDescent="0.2">
      <c r="C69" s="807" t="s">
        <v>137</v>
      </c>
      <c r="D69" s="808"/>
      <c r="E69" s="361"/>
      <c r="F69" s="173"/>
      <c r="G69" s="219">
        <f>ROUND(G65*1.25,0)</f>
        <v>3356</v>
      </c>
      <c r="K69" s="233"/>
      <c r="L69" s="234"/>
      <c r="M69" s="233"/>
      <c r="N69" s="234"/>
      <c r="O69" s="235"/>
      <c r="P69" s="234"/>
      <c r="Q69" s="235"/>
      <c r="R69" s="234"/>
      <c r="S69" s="235"/>
      <c r="T69" s="235"/>
      <c r="U69" s="235"/>
      <c r="V69" s="236"/>
      <c r="AR69" s="232"/>
    </row>
    <row r="70" spans="3:45" ht="18" x14ac:dyDescent="0.25">
      <c r="C70" s="807" t="s">
        <v>139</v>
      </c>
      <c r="D70" s="808"/>
      <c r="E70" s="361"/>
      <c r="F70" s="173"/>
      <c r="G70" s="219">
        <f>ROUND(G65*1.75,0)</f>
        <v>4699</v>
      </c>
      <c r="J70" s="202"/>
      <c r="K70" s="237" t="s">
        <v>166</v>
      </c>
      <c r="L70" s="238"/>
      <c r="M70" s="238"/>
      <c r="N70" s="800">
        <v>1</v>
      </c>
      <c r="O70" s="801"/>
      <c r="P70" s="800">
        <v>1.1000000000000001</v>
      </c>
      <c r="Q70" s="801"/>
      <c r="R70" s="800">
        <v>1.1499999999999999</v>
      </c>
      <c r="S70" s="801"/>
      <c r="T70" s="800">
        <v>1.2</v>
      </c>
      <c r="U70" s="801"/>
      <c r="V70" s="800">
        <v>1.5</v>
      </c>
      <c r="W70" s="801"/>
      <c r="X70" s="800">
        <v>1.65</v>
      </c>
      <c r="Y70" s="801"/>
      <c r="Z70" s="814">
        <v>1.7250000000000001</v>
      </c>
      <c r="AA70" s="815"/>
      <c r="AB70" s="800">
        <v>1.8</v>
      </c>
      <c r="AC70" s="801"/>
      <c r="AD70" s="809">
        <v>2</v>
      </c>
      <c r="AE70" s="810"/>
      <c r="AF70" s="809">
        <v>2.2000000000000002</v>
      </c>
      <c r="AG70" s="813"/>
      <c r="AH70" s="809">
        <f>2.2*1.1</f>
        <v>2.4200000000000004</v>
      </c>
      <c r="AI70" s="810"/>
      <c r="AJ70" s="813">
        <v>2.5</v>
      </c>
      <c r="AK70" s="810"/>
      <c r="AL70" s="809">
        <f>2.2*1.15</f>
        <v>2.5299999999999998</v>
      </c>
      <c r="AM70" s="810"/>
      <c r="AN70" s="809">
        <v>2.64</v>
      </c>
      <c r="AO70" s="810"/>
      <c r="AP70" s="809">
        <v>3</v>
      </c>
      <c r="AQ70" s="810"/>
      <c r="AR70" s="809">
        <v>3.2</v>
      </c>
      <c r="AS70" s="810"/>
    </row>
    <row r="71" spans="3:45" ht="15.75" thickBot="1" x14ac:dyDescent="0.3">
      <c r="C71" s="807" t="s">
        <v>141</v>
      </c>
      <c r="D71" s="808"/>
      <c r="E71" s="361"/>
      <c r="F71" s="173"/>
      <c r="G71" s="219">
        <f>ROUND(G65*2,0)</f>
        <v>5370</v>
      </c>
      <c r="J71" s="202"/>
      <c r="K71" s="239"/>
      <c r="L71" s="240"/>
      <c r="M71" s="241"/>
      <c r="N71" s="242" t="s">
        <v>167</v>
      </c>
      <c r="O71" s="243" t="s">
        <v>168</v>
      </c>
      <c r="P71" s="242" t="s">
        <v>167</v>
      </c>
      <c r="Q71" s="243" t="s">
        <v>168</v>
      </c>
      <c r="R71" s="242" t="s">
        <v>167</v>
      </c>
      <c r="S71" s="243" t="s">
        <v>168</v>
      </c>
      <c r="T71" s="242" t="s">
        <v>167</v>
      </c>
      <c r="U71" s="243" t="s">
        <v>168</v>
      </c>
      <c r="V71" s="244" t="s">
        <v>169</v>
      </c>
      <c r="W71" s="243" t="s">
        <v>168</v>
      </c>
      <c r="X71" s="244" t="s">
        <v>169</v>
      </c>
      <c r="Y71" s="243" t="s">
        <v>168</v>
      </c>
      <c r="Z71" s="244" t="s">
        <v>169</v>
      </c>
      <c r="AA71" s="243" t="s">
        <v>168</v>
      </c>
      <c r="AB71" s="244" t="s">
        <v>169</v>
      </c>
      <c r="AC71" s="243" t="s">
        <v>168</v>
      </c>
      <c r="AD71" s="245" t="s">
        <v>170</v>
      </c>
      <c r="AE71" s="246" t="s">
        <v>168</v>
      </c>
      <c r="AF71" s="244" t="s">
        <v>169</v>
      </c>
      <c r="AG71" s="243" t="s">
        <v>168</v>
      </c>
      <c r="AH71" s="244" t="s">
        <v>169</v>
      </c>
      <c r="AI71" s="243" t="s">
        <v>168</v>
      </c>
      <c r="AJ71" s="244" t="s">
        <v>169</v>
      </c>
      <c r="AK71" s="243" t="s">
        <v>168</v>
      </c>
      <c r="AL71" s="244" t="s">
        <v>169</v>
      </c>
      <c r="AM71" s="243" t="s">
        <v>168</v>
      </c>
      <c r="AN71" s="244" t="s">
        <v>169</v>
      </c>
      <c r="AO71" s="243" t="s">
        <v>168</v>
      </c>
      <c r="AP71" s="245" t="s">
        <v>170</v>
      </c>
      <c r="AQ71" s="246" t="s">
        <v>168</v>
      </c>
      <c r="AR71" s="245" t="s">
        <v>170</v>
      </c>
      <c r="AS71" s="246" t="s">
        <v>168</v>
      </c>
    </row>
    <row r="72" spans="3:45" ht="16.5" thickTop="1" thickBot="1" x14ac:dyDescent="0.3">
      <c r="C72" s="811" t="s">
        <v>143</v>
      </c>
      <c r="D72" s="812"/>
      <c r="E72" s="362"/>
      <c r="F72" s="221"/>
      <c r="G72" s="222">
        <f>ROUND(G65*2.5,0)</f>
        <v>6713</v>
      </c>
      <c r="K72" s="247" t="s">
        <v>161</v>
      </c>
      <c r="L72" s="248"/>
      <c r="M72" s="249"/>
      <c r="N72" s="250">
        <f>N24</f>
        <v>689454</v>
      </c>
      <c r="O72" s="248" t="s">
        <v>171</v>
      </c>
      <c r="P72" s="250">
        <f>ROUND(N24*P70,0)</f>
        <v>758399</v>
      </c>
      <c r="Q72" s="248" t="s">
        <v>171</v>
      </c>
      <c r="R72" s="250">
        <f>ROUND(N24*R70,0)</f>
        <v>792872</v>
      </c>
      <c r="S72" s="248" t="s">
        <v>171</v>
      </c>
      <c r="T72" s="250">
        <f>ROUND(N24*T70,0)</f>
        <v>827345</v>
      </c>
      <c r="U72" s="248" t="s">
        <v>171</v>
      </c>
      <c r="V72" s="251">
        <f>N24*V70</f>
        <v>1034181</v>
      </c>
      <c r="W72" s="248" t="s">
        <v>171</v>
      </c>
      <c r="X72" s="251">
        <f>N24*X70</f>
        <v>1137599.0999999999</v>
      </c>
      <c r="Y72" s="248" t="s">
        <v>171</v>
      </c>
      <c r="Z72" s="251">
        <f>N24*Z70</f>
        <v>1189308.1500000001</v>
      </c>
      <c r="AA72" s="248" t="s">
        <v>171</v>
      </c>
      <c r="AB72" s="251">
        <f>N24*AB70</f>
        <v>1241017.2</v>
      </c>
      <c r="AC72" s="248" t="s">
        <v>171</v>
      </c>
      <c r="AD72" s="251">
        <f>N24*AD70</f>
        <v>1378908</v>
      </c>
      <c r="AE72" s="248" t="s">
        <v>171</v>
      </c>
      <c r="AF72" s="251">
        <f>N24*AF70</f>
        <v>1516798.8</v>
      </c>
      <c r="AG72" s="248" t="s">
        <v>171</v>
      </c>
      <c r="AH72" s="251">
        <f>N24*AH70</f>
        <v>1668478.6800000002</v>
      </c>
      <c r="AI72" s="248" t="s">
        <v>171</v>
      </c>
      <c r="AJ72" s="251">
        <f>N24*AJ70</f>
        <v>1723635</v>
      </c>
      <c r="AK72" s="248" t="s">
        <v>171</v>
      </c>
      <c r="AL72" s="251">
        <f>N24*AL70</f>
        <v>1744318.6199999999</v>
      </c>
      <c r="AM72" s="248" t="s">
        <v>171</v>
      </c>
      <c r="AN72" s="251">
        <f>N24*AN70</f>
        <v>1820158.56</v>
      </c>
      <c r="AO72" s="248" t="s">
        <v>171</v>
      </c>
      <c r="AP72" s="251">
        <f>N24*AP70</f>
        <v>2068362</v>
      </c>
      <c r="AQ72" s="252" t="s">
        <v>171</v>
      </c>
      <c r="AR72" s="251">
        <f>N24*AR70</f>
        <v>2206252.8000000003</v>
      </c>
      <c r="AS72" s="253" t="s">
        <v>171</v>
      </c>
    </row>
    <row r="73" spans="3:45" ht="15" thickTop="1" x14ac:dyDescent="0.2">
      <c r="K73" s="254" t="s">
        <v>160</v>
      </c>
      <c r="L73" s="255"/>
      <c r="M73" s="256"/>
      <c r="N73" s="257">
        <f>N25</f>
        <v>77700</v>
      </c>
      <c r="O73" s="239" t="s">
        <v>172</v>
      </c>
      <c r="P73" s="257">
        <f>+O68</f>
        <v>73240</v>
      </c>
      <c r="Q73" s="239" t="s">
        <v>172</v>
      </c>
      <c r="R73" s="257">
        <f>+O68</f>
        <v>73240</v>
      </c>
      <c r="S73" s="239" t="s">
        <v>172</v>
      </c>
      <c r="T73" s="257">
        <f>+O68</f>
        <v>73240</v>
      </c>
      <c r="U73" s="239" t="s">
        <v>172</v>
      </c>
      <c r="V73" s="257">
        <f>+O68</f>
        <v>73240</v>
      </c>
      <c r="W73" s="239" t="s">
        <v>172</v>
      </c>
      <c r="X73" s="257">
        <f>+O68</f>
        <v>73240</v>
      </c>
      <c r="Y73" s="239" t="s">
        <v>172</v>
      </c>
      <c r="Z73" s="257">
        <f>+O68</f>
        <v>73240</v>
      </c>
      <c r="AA73" s="239" t="s">
        <v>172</v>
      </c>
      <c r="AB73" s="257">
        <f>+O68</f>
        <v>73240</v>
      </c>
      <c r="AC73" s="239" t="s">
        <v>172</v>
      </c>
      <c r="AD73" s="257">
        <f>+O68</f>
        <v>73240</v>
      </c>
      <c r="AE73" s="239" t="s">
        <v>172</v>
      </c>
      <c r="AF73" s="257">
        <v>0</v>
      </c>
      <c r="AG73" s="239" t="s">
        <v>172</v>
      </c>
      <c r="AH73" s="257">
        <v>0</v>
      </c>
      <c r="AI73" s="239" t="s">
        <v>172</v>
      </c>
      <c r="AJ73" s="257">
        <v>0</v>
      </c>
      <c r="AK73" s="239" t="s">
        <v>172</v>
      </c>
      <c r="AL73" s="257">
        <v>0</v>
      </c>
      <c r="AM73" s="239" t="s">
        <v>172</v>
      </c>
      <c r="AN73" s="257">
        <v>0</v>
      </c>
      <c r="AO73" s="239" t="s">
        <v>172</v>
      </c>
      <c r="AP73" s="257">
        <v>0</v>
      </c>
      <c r="AQ73" s="240" t="s">
        <v>172</v>
      </c>
      <c r="AR73" s="257">
        <v>0</v>
      </c>
      <c r="AS73" s="258" t="s">
        <v>172</v>
      </c>
    </row>
    <row r="74" spans="3:45" ht="15" x14ac:dyDescent="0.25">
      <c r="K74" s="259" t="s">
        <v>173</v>
      </c>
      <c r="L74" s="239"/>
      <c r="M74" s="249"/>
      <c r="N74" s="260">
        <f>SUM(N72:N73)</f>
        <v>767154</v>
      </c>
      <c r="O74" s="261" t="s">
        <v>174</v>
      </c>
      <c r="P74" s="260">
        <f>SUM(P72:P73)</f>
        <v>831639</v>
      </c>
      <c r="Q74" s="261" t="s">
        <v>174</v>
      </c>
      <c r="R74" s="260">
        <f>SUM(R72:R73)</f>
        <v>866112</v>
      </c>
      <c r="S74" s="261" t="s">
        <v>174</v>
      </c>
      <c r="T74" s="260">
        <f>SUM(T72:T73)</f>
        <v>900585</v>
      </c>
      <c r="U74" s="261" t="s">
        <v>174</v>
      </c>
      <c r="V74" s="260">
        <f>SUM(V72:V73)</f>
        <v>1107421</v>
      </c>
      <c r="W74" s="261" t="s">
        <v>174</v>
      </c>
      <c r="X74" s="260">
        <f>SUM(X72:X73)</f>
        <v>1210839.0999999999</v>
      </c>
      <c r="Y74" s="261" t="s">
        <v>174</v>
      </c>
      <c r="Z74" s="260">
        <f>SUM(Z72:Z73)</f>
        <v>1262548.1500000001</v>
      </c>
      <c r="AA74" s="261" t="s">
        <v>174</v>
      </c>
      <c r="AB74" s="260">
        <f>SUM(AB72:AB73)</f>
        <v>1314257.2</v>
      </c>
      <c r="AC74" s="261" t="s">
        <v>174</v>
      </c>
      <c r="AD74" s="260">
        <f>SUM(AD72:AD73)</f>
        <v>1452148</v>
      </c>
      <c r="AE74" s="261" t="s">
        <v>174</v>
      </c>
      <c r="AF74" s="260">
        <f>SUM(AF72:AF73)</f>
        <v>1516798.8</v>
      </c>
      <c r="AG74" s="261" t="s">
        <v>174</v>
      </c>
      <c r="AH74" s="260">
        <f>SUM(AH72:AH73)</f>
        <v>1668478.6800000002</v>
      </c>
      <c r="AI74" s="261" t="s">
        <v>174</v>
      </c>
      <c r="AJ74" s="260">
        <f>SUM(AJ72:AJ73)</f>
        <v>1723635</v>
      </c>
      <c r="AK74" s="261" t="s">
        <v>174</v>
      </c>
      <c r="AL74" s="260">
        <f>SUM(AL72:AL73)</f>
        <v>1744318.6199999999</v>
      </c>
      <c r="AM74" s="261" t="s">
        <v>174</v>
      </c>
      <c r="AN74" s="260">
        <f>SUM(AN72:AN73)</f>
        <v>1820158.56</v>
      </c>
      <c r="AO74" s="261" t="s">
        <v>174</v>
      </c>
      <c r="AP74" s="260">
        <f>SUM(AP72:AP73)</f>
        <v>2068362</v>
      </c>
      <c r="AQ74" s="262" t="s">
        <v>174</v>
      </c>
      <c r="AR74" s="260">
        <f>SUM(AR72:AR73)</f>
        <v>2206252.8000000003</v>
      </c>
      <c r="AS74" s="263" t="s">
        <v>174</v>
      </c>
    </row>
    <row r="75" spans="3:45" ht="15" x14ac:dyDescent="0.25">
      <c r="K75" s="259" t="s">
        <v>162</v>
      </c>
      <c r="L75" s="239"/>
      <c r="M75" s="249"/>
      <c r="N75" s="260">
        <f>(N72/30)*365</f>
        <v>8388357</v>
      </c>
      <c r="O75" s="261" t="s">
        <v>175</v>
      </c>
      <c r="P75" s="260">
        <f>ROUND(P72/30*365,0)</f>
        <v>9227188</v>
      </c>
      <c r="Q75" s="261" t="s">
        <v>175</v>
      </c>
      <c r="R75" s="260">
        <f>ROUND(R72/30*365,0)</f>
        <v>9646609</v>
      </c>
      <c r="S75" s="261" t="s">
        <v>175</v>
      </c>
      <c r="T75" s="260">
        <f>ROUND(T72/30*365,0)</f>
        <v>10066031</v>
      </c>
      <c r="U75" s="261" t="s">
        <v>175</v>
      </c>
      <c r="V75" s="260">
        <f>ROUND(V72/30*365,0)</f>
        <v>12582536</v>
      </c>
      <c r="W75" s="261" t="s">
        <v>175</v>
      </c>
      <c r="X75" s="260">
        <f>ROUND(X72/30*365,0)</f>
        <v>13840789</v>
      </c>
      <c r="Y75" s="261" t="s">
        <v>175</v>
      </c>
      <c r="Z75" s="260">
        <f>ROUND(Z72/30*365,0)</f>
        <v>14469916</v>
      </c>
      <c r="AA75" s="261" t="s">
        <v>175</v>
      </c>
      <c r="AB75" s="260">
        <f>ROUND(AB72/30*365,0)</f>
        <v>15099043</v>
      </c>
      <c r="AC75" s="261" t="s">
        <v>175</v>
      </c>
      <c r="AD75" s="260">
        <f>ROUND(AD72/30*365,0)</f>
        <v>16776714</v>
      </c>
      <c r="AE75" s="261" t="s">
        <v>175</v>
      </c>
      <c r="AF75" s="260">
        <f>ROUND(AF72/30*365,0)</f>
        <v>18454385</v>
      </c>
      <c r="AG75" s="261" t="s">
        <v>175</v>
      </c>
      <c r="AH75" s="260">
        <f>ROUND(AH72/30*365,0)</f>
        <v>20299824</v>
      </c>
      <c r="AI75" s="261" t="s">
        <v>175</v>
      </c>
      <c r="AJ75" s="260">
        <f>ROUND(AJ72/30*365,0)</f>
        <v>20970893</v>
      </c>
      <c r="AK75" s="261" t="s">
        <v>175</v>
      </c>
      <c r="AL75" s="260">
        <f>ROUND(AL72/30*365,0)</f>
        <v>21222543</v>
      </c>
      <c r="AM75" s="261" t="s">
        <v>175</v>
      </c>
      <c r="AN75" s="260">
        <f>ROUND(AN72/30*365,0)</f>
        <v>22145262</v>
      </c>
      <c r="AO75" s="261" t="s">
        <v>175</v>
      </c>
      <c r="AP75" s="260">
        <f>ROUND(AP72/30*365,0)</f>
        <v>25165071</v>
      </c>
      <c r="AQ75" s="262" t="s">
        <v>175</v>
      </c>
      <c r="AR75" s="260">
        <f>ROUND(AR72/30*365,0)</f>
        <v>26842742</v>
      </c>
      <c r="AS75" s="263" t="s">
        <v>175</v>
      </c>
    </row>
    <row r="76" spans="3:45" ht="15" x14ac:dyDescent="0.25">
      <c r="K76" s="259" t="s">
        <v>176</v>
      </c>
      <c r="L76" s="239"/>
      <c r="M76" s="249"/>
      <c r="N76" s="260">
        <f>ROUND(N75+Q68,0)</f>
        <v>9279444</v>
      </c>
      <c r="O76" s="261" t="s">
        <v>177</v>
      </c>
      <c r="P76" s="260">
        <f>ROUND(P75+Q68,0)</f>
        <v>10118275</v>
      </c>
      <c r="Q76" s="261" t="s">
        <v>177</v>
      </c>
      <c r="R76" s="260">
        <f>ROUND(R75+Q68,0)</f>
        <v>10537696</v>
      </c>
      <c r="S76" s="261" t="s">
        <v>177</v>
      </c>
      <c r="T76" s="260">
        <f>ROUND(T75+Q68,0)</f>
        <v>10957118</v>
      </c>
      <c r="U76" s="261" t="s">
        <v>177</v>
      </c>
      <c r="V76" s="260">
        <f>ROUND(V75+Q68,0)</f>
        <v>13473623</v>
      </c>
      <c r="W76" s="261" t="s">
        <v>177</v>
      </c>
      <c r="X76" s="260">
        <f>ROUND(X75+Q68,0)</f>
        <v>14731876</v>
      </c>
      <c r="Y76" s="261" t="s">
        <v>177</v>
      </c>
      <c r="Z76" s="260">
        <f>ROUND(Z75+Q68,0)</f>
        <v>15361003</v>
      </c>
      <c r="AA76" s="261" t="s">
        <v>177</v>
      </c>
      <c r="AB76" s="260">
        <f>ROUND(AB75+Q68,0)</f>
        <v>15990130</v>
      </c>
      <c r="AC76" s="261" t="s">
        <v>177</v>
      </c>
      <c r="AD76" s="260">
        <f>ROUND(AD75+Q68,0)</f>
        <v>17667801</v>
      </c>
      <c r="AE76" s="261" t="s">
        <v>177</v>
      </c>
      <c r="AF76" s="260">
        <f>ROUND(AF75+AF73,0)</f>
        <v>18454385</v>
      </c>
      <c r="AG76" s="261" t="s">
        <v>177</v>
      </c>
      <c r="AH76" s="260">
        <f>ROUND(AH75+AH73,0)</f>
        <v>20299824</v>
      </c>
      <c r="AI76" s="261" t="s">
        <v>177</v>
      </c>
      <c r="AJ76" s="260">
        <f>ROUND(AJ75+AJ73,0)</f>
        <v>20970893</v>
      </c>
      <c r="AK76" s="261" t="s">
        <v>177</v>
      </c>
      <c r="AL76" s="260">
        <f>ROUND(AL75+AL73,0)</f>
        <v>21222543</v>
      </c>
      <c r="AM76" s="261" t="s">
        <v>177</v>
      </c>
      <c r="AN76" s="260">
        <f>ROUND(AN75+AN73,0)</f>
        <v>22145262</v>
      </c>
      <c r="AO76" s="261" t="s">
        <v>177</v>
      </c>
      <c r="AP76" s="260">
        <f>ROUND(AP75+AP73,0)</f>
        <v>25165071</v>
      </c>
      <c r="AQ76" s="262" t="s">
        <v>177</v>
      </c>
      <c r="AR76" s="260">
        <f>ROUND(AR75+AR73,0)</f>
        <v>26842742</v>
      </c>
      <c r="AS76" s="263" t="s">
        <v>177</v>
      </c>
    </row>
    <row r="77" spans="3:45" ht="15" x14ac:dyDescent="0.25">
      <c r="K77" s="224" t="s">
        <v>178</v>
      </c>
      <c r="L77" s="224" t="s">
        <v>179</v>
      </c>
      <c r="M77" s="224" t="s">
        <v>180</v>
      </c>
      <c r="N77" s="264" t="s">
        <v>167</v>
      </c>
      <c r="O77" s="264" t="s">
        <v>181</v>
      </c>
      <c r="P77" s="264" t="s">
        <v>167</v>
      </c>
      <c r="Q77" s="264" t="s">
        <v>181</v>
      </c>
      <c r="R77" s="264" t="s">
        <v>167</v>
      </c>
      <c r="S77" s="264" t="s">
        <v>181</v>
      </c>
      <c r="T77" s="264" t="s">
        <v>167</v>
      </c>
      <c r="U77" s="264" t="s">
        <v>181</v>
      </c>
      <c r="V77" s="264" t="s">
        <v>169</v>
      </c>
      <c r="W77" s="264" t="s">
        <v>181</v>
      </c>
      <c r="X77" s="264" t="s">
        <v>169</v>
      </c>
      <c r="Y77" s="264" t="s">
        <v>181</v>
      </c>
      <c r="Z77" s="264" t="s">
        <v>169</v>
      </c>
      <c r="AA77" s="264" t="s">
        <v>181</v>
      </c>
      <c r="AB77" s="264" t="s">
        <v>169</v>
      </c>
      <c r="AC77" s="264" t="s">
        <v>181</v>
      </c>
      <c r="AD77" s="361" t="s">
        <v>170</v>
      </c>
      <c r="AE77" s="265" t="s">
        <v>181</v>
      </c>
      <c r="AF77" s="361" t="s">
        <v>170</v>
      </c>
      <c r="AG77" s="265" t="s">
        <v>181</v>
      </c>
      <c r="AH77" s="361" t="s">
        <v>170</v>
      </c>
      <c r="AI77" s="265" t="s">
        <v>181</v>
      </c>
      <c r="AJ77" s="361" t="s">
        <v>170</v>
      </c>
      <c r="AK77" s="265" t="s">
        <v>181</v>
      </c>
      <c r="AL77" s="361" t="s">
        <v>170</v>
      </c>
      <c r="AM77" s="265" t="s">
        <v>181</v>
      </c>
      <c r="AN77" s="361" t="s">
        <v>170</v>
      </c>
      <c r="AO77" s="265" t="s">
        <v>181</v>
      </c>
      <c r="AP77" s="361" t="s">
        <v>170</v>
      </c>
      <c r="AQ77" s="266" t="s">
        <v>181</v>
      </c>
      <c r="AR77" s="361" t="s">
        <v>170</v>
      </c>
      <c r="AS77" s="265" t="s">
        <v>181</v>
      </c>
    </row>
    <row r="78" spans="3:45" x14ac:dyDescent="0.2">
      <c r="K78" s="259" t="s">
        <v>182</v>
      </c>
      <c r="L78" s="239"/>
      <c r="M78" s="249"/>
      <c r="N78" s="267">
        <f>N72/30*365</f>
        <v>8388357</v>
      </c>
      <c r="O78" s="268">
        <f>ROUND(N75/N75,4)</f>
        <v>1</v>
      </c>
      <c r="P78" s="267">
        <f>P75</f>
        <v>9227188</v>
      </c>
      <c r="Q78" s="268">
        <f>ROUND(P75/P75,4)</f>
        <v>1</v>
      </c>
      <c r="R78" s="267">
        <f>R75</f>
        <v>9646609</v>
      </c>
      <c r="S78" s="268">
        <f>ROUND(R75/R75,4)</f>
        <v>1</v>
      </c>
      <c r="T78" s="267">
        <f>T75</f>
        <v>10066031</v>
      </c>
      <c r="U78" s="268">
        <f>ROUND(T75/T75,4)</f>
        <v>1</v>
      </c>
      <c r="V78" s="267">
        <f>V75</f>
        <v>12582536</v>
      </c>
      <c r="W78" s="268">
        <f>ROUND(V75/V75,4)</f>
        <v>1</v>
      </c>
      <c r="X78" s="267">
        <f>X75</f>
        <v>13840789</v>
      </c>
      <c r="Y78" s="268">
        <f>ROUND(X75/X75,4)</f>
        <v>1</v>
      </c>
      <c r="Z78" s="267">
        <f>Z75</f>
        <v>14469916</v>
      </c>
      <c r="AA78" s="268">
        <f>ROUND(Z75/Z75,4)</f>
        <v>1</v>
      </c>
      <c r="AB78" s="267">
        <f>AB75</f>
        <v>15099043</v>
      </c>
      <c r="AC78" s="268">
        <f>ROUND(AB75/AB75,4)</f>
        <v>1</v>
      </c>
      <c r="AD78" s="267">
        <f>AD75</f>
        <v>16776714</v>
      </c>
      <c r="AE78" s="268">
        <f>ROUND(AD75/AD75,4)</f>
        <v>1</v>
      </c>
      <c r="AF78" s="267">
        <f>AF75</f>
        <v>18454385</v>
      </c>
      <c r="AG78" s="268">
        <f>ROUND(AF75/AF75,4)</f>
        <v>1</v>
      </c>
      <c r="AH78" s="267">
        <f>AH75</f>
        <v>20299824</v>
      </c>
      <c r="AI78" s="268">
        <f>ROUND(AH75/AH75,4)</f>
        <v>1</v>
      </c>
      <c r="AJ78" s="267">
        <f>AJ75</f>
        <v>20970893</v>
      </c>
      <c r="AK78" s="268">
        <f>ROUND(AJ75/AJ75,4)</f>
        <v>1</v>
      </c>
      <c r="AL78" s="267">
        <f>AL75</f>
        <v>21222543</v>
      </c>
      <c r="AM78" s="268">
        <f>ROUND(AL75/AL75,4)</f>
        <v>1</v>
      </c>
      <c r="AN78" s="267">
        <f>AN75</f>
        <v>22145262</v>
      </c>
      <c r="AO78" s="268">
        <f>ROUND(AN75/AN75,4)</f>
        <v>1</v>
      </c>
      <c r="AP78" s="267">
        <f>AP75</f>
        <v>25165071</v>
      </c>
      <c r="AQ78" s="269">
        <f>ROUND(AP75/AP75,4)</f>
        <v>1</v>
      </c>
      <c r="AR78" s="267">
        <f>AR75</f>
        <v>26842742</v>
      </c>
      <c r="AS78" s="270">
        <f>ROUND(AR75/AR75,4)</f>
        <v>1</v>
      </c>
    </row>
    <row r="79" spans="3:45" ht="15" x14ac:dyDescent="0.25">
      <c r="K79" s="259" t="s">
        <v>183</v>
      </c>
      <c r="L79" s="239"/>
      <c r="M79" s="249"/>
      <c r="N79" s="260">
        <f>+Q68</f>
        <v>891086.66666666674</v>
      </c>
      <c r="O79" s="268">
        <f>ROUND(N79/N75,4)</f>
        <v>0.1062</v>
      </c>
      <c r="P79" s="260">
        <f>+Q68</f>
        <v>891086.66666666674</v>
      </c>
      <c r="Q79" s="268">
        <f>ROUND(P79/P75,4)</f>
        <v>9.6600000000000005E-2</v>
      </c>
      <c r="R79" s="260">
        <f>+Q68</f>
        <v>891086.66666666674</v>
      </c>
      <c r="S79" s="268">
        <f>ROUND(R79/R75,4)</f>
        <v>9.2399999999999996E-2</v>
      </c>
      <c r="T79" s="260">
        <f>+Q68</f>
        <v>891086.66666666674</v>
      </c>
      <c r="U79" s="268">
        <f>ROUND(T79/T75,4)</f>
        <v>8.8499999999999995E-2</v>
      </c>
      <c r="V79" s="260">
        <f>+Q68</f>
        <v>891086.66666666674</v>
      </c>
      <c r="W79" s="268">
        <f>ROUND(V79/V75,4)</f>
        <v>7.0800000000000002E-2</v>
      </c>
      <c r="X79" s="260">
        <f>+Q68</f>
        <v>891086.66666666674</v>
      </c>
      <c r="Y79" s="268">
        <f>ROUND(X79/X75,4)</f>
        <v>6.4399999999999999E-2</v>
      </c>
      <c r="Z79" s="260">
        <f>+Q68</f>
        <v>891086.66666666674</v>
      </c>
      <c r="AA79" s="268">
        <f>ROUND(Z79/Z75,4)</f>
        <v>6.1600000000000002E-2</v>
      </c>
      <c r="AB79" s="260">
        <f>+Q68</f>
        <v>891086.66666666674</v>
      </c>
      <c r="AC79" s="268">
        <f>ROUND(AB79/AB75,4)</f>
        <v>5.8999999999999997E-2</v>
      </c>
      <c r="AD79" s="260">
        <f>+Q68</f>
        <v>891086.66666666674</v>
      </c>
      <c r="AE79" s="268">
        <f>ROUND(AD79/AD75,4)</f>
        <v>5.3100000000000001E-2</v>
      </c>
      <c r="AF79" s="260">
        <v>0</v>
      </c>
      <c r="AG79" s="268">
        <f>ROUND(AF79/AF75,4)</f>
        <v>0</v>
      </c>
      <c r="AH79" s="260">
        <v>0</v>
      </c>
      <c r="AI79" s="268">
        <f>ROUND(AH79/AH75,4)</f>
        <v>0</v>
      </c>
      <c r="AJ79" s="260">
        <v>0</v>
      </c>
      <c r="AK79" s="268">
        <f>ROUND(AJ79/AJ75,4)</f>
        <v>0</v>
      </c>
      <c r="AL79" s="260">
        <v>0</v>
      </c>
      <c r="AM79" s="268">
        <f>ROUND(AL79/AL75,4)</f>
        <v>0</v>
      </c>
      <c r="AN79" s="260">
        <v>0</v>
      </c>
      <c r="AO79" s="268">
        <f>ROUND(AN79/AN75,4)</f>
        <v>0</v>
      </c>
      <c r="AP79" s="260">
        <v>0</v>
      </c>
      <c r="AQ79" s="269">
        <f>ROUND(AP79/AP75,4)</f>
        <v>0</v>
      </c>
      <c r="AR79" s="260">
        <v>0</v>
      </c>
      <c r="AS79" s="270">
        <f>ROUND(AR79/AR75,4)</f>
        <v>0</v>
      </c>
    </row>
    <row r="80" spans="3:45" ht="15" x14ac:dyDescent="0.25">
      <c r="K80" s="271" t="s">
        <v>184</v>
      </c>
      <c r="L80" s="272"/>
      <c r="M80" s="273"/>
      <c r="N80" s="260"/>
      <c r="O80" s="274"/>
      <c r="P80" s="260"/>
      <c r="Q80" s="274"/>
      <c r="R80" s="260"/>
      <c r="S80" s="274"/>
      <c r="T80" s="260"/>
      <c r="U80" s="274"/>
      <c r="V80" s="260"/>
      <c r="W80" s="274"/>
      <c r="X80" s="260"/>
      <c r="Y80" s="274"/>
      <c r="Z80" s="260"/>
      <c r="AA80" s="274"/>
      <c r="AB80" s="260"/>
      <c r="AC80" s="274"/>
      <c r="AD80" s="260"/>
      <c r="AE80" s="274"/>
      <c r="AF80" s="260"/>
      <c r="AG80" s="274"/>
      <c r="AH80" s="260"/>
      <c r="AI80" s="274"/>
      <c r="AJ80" s="260"/>
      <c r="AK80" s="274"/>
      <c r="AL80" s="260"/>
      <c r="AM80" s="274"/>
      <c r="AN80" s="260"/>
      <c r="AO80" s="274"/>
      <c r="AP80" s="260"/>
      <c r="AQ80" s="275"/>
      <c r="AR80" s="260"/>
      <c r="AS80" s="276"/>
    </row>
    <row r="81" spans="11:45" ht="15" x14ac:dyDescent="0.25">
      <c r="K81" s="259" t="s">
        <v>185</v>
      </c>
      <c r="L81" s="239" t="s">
        <v>177</v>
      </c>
      <c r="M81" s="277">
        <v>1</v>
      </c>
      <c r="N81" s="260">
        <f>N74</f>
        <v>767154</v>
      </c>
      <c r="O81" s="268">
        <f>ROUND(N81/N75,4)</f>
        <v>9.1499999999999998E-2</v>
      </c>
      <c r="P81" s="260">
        <f>P74</f>
        <v>831639</v>
      </c>
      <c r="Q81" s="268">
        <f>ROUND(P81/P75,4)</f>
        <v>9.01E-2</v>
      </c>
      <c r="R81" s="260">
        <f>R74</f>
        <v>866112</v>
      </c>
      <c r="S81" s="268">
        <f>ROUND(R81/R75,4)</f>
        <v>8.9800000000000005E-2</v>
      </c>
      <c r="T81" s="260">
        <f>T74</f>
        <v>900585</v>
      </c>
      <c r="U81" s="268">
        <f>ROUND(T81/T75,4)</f>
        <v>8.9499999999999996E-2</v>
      </c>
      <c r="V81" s="260">
        <f>V74</f>
        <v>1107421</v>
      </c>
      <c r="W81" s="268">
        <f>ROUND(V81/V75,4)</f>
        <v>8.7999999999999995E-2</v>
      </c>
      <c r="X81" s="260">
        <f>X74</f>
        <v>1210839.0999999999</v>
      </c>
      <c r="Y81" s="268">
        <f>ROUND(X81/X75,4)</f>
        <v>8.7499999999999994E-2</v>
      </c>
      <c r="Z81" s="260">
        <f>Z74</f>
        <v>1262548.1500000001</v>
      </c>
      <c r="AA81" s="268">
        <f>ROUND(Z81/Z75,4)</f>
        <v>8.7300000000000003E-2</v>
      </c>
      <c r="AB81" s="260">
        <f>AB74</f>
        <v>1314257.2</v>
      </c>
      <c r="AC81" s="268">
        <f>ROUND(AB81/AB75,4)</f>
        <v>8.6999999999999994E-2</v>
      </c>
      <c r="AD81" s="260">
        <f>AD74</f>
        <v>1452148</v>
      </c>
      <c r="AE81" s="268">
        <f>ROUND(AD81/AD75,4)</f>
        <v>8.6599999999999996E-2</v>
      </c>
      <c r="AF81" s="260">
        <f>AF74</f>
        <v>1516798.8</v>
      </c>
      <c r="AG81" s="268">
        <f>ROUND(AF81/AF75,4)</f>
        <v>8.2199999999999995E-2</v>
      </c>
      <c r="AH81" s="260">
        <f>AH74</f>
        <v>1668478.6800000002</v>
      </c>
      <c r="AI81" s="268">
        <f>ROUND(AH81/AH75,4)</f>
        <v>8.2199999999999995E-2</v>
      </c>
      <c r="AJ81" s="260">
        <f>AJ74</f>
        <v>1723635</v>
      </c>
      <c r="AK81" s="268">
        <f>ROUND(AJ81/AJ75,4)</f>
        <v>8.2199999999999995E-2</v>
      </c>
      <c r="AL81" s="260">
        <f>AL74</f>
        <v>1744318.6199999999</v>
      </c>
      <c r="AM81" s="268">
        <f>ROUND(AL81/AL75,4)</f>
        <v>8.2199999999999995E-2</v>
      </c>
      <c r="AN81" s="260">
        <f>AN74</f>
        <v>1820158.56</v>
      </c>
      <c r="AO81" s="268">
        <f>ROUND(AN81/AN75,4)</f>
        <v>8.2199999999999995E-2</v>
      </c>
      <c r="AP81" s="260">
        <f>AP74</f>
        <v>2068362</v>
      </c>
      <c r="AQ81" s="269">
        <f>ROUND(AP81/AP75,4)</f>
        <v>8.2199999999999995E-2</v>
      </c>
      <c r="AR81" s="260">
        <f>AR74</f>
        <v>2206252.8000000003</v>
      </c>
      <c r="AS81" s="270">
        <f>ROUND(AR81/AR75,4)</f>
        <v>8.2199999999999995E-2</v>
      </c>
    </row>
    <row r="82" spans="11:45" ht="15" x14ac:dyDescent="0.25">
      <c r="K82" s="259" t="s">
        <v>186</v>
      </c>
      <c r="L82" s="239" t="s">
        <v>187</v>
      </c>
      <c r="M82" s="277">
        <v>0.12</v>
      </c>
      <c r="N82" s="260">
        <f>ROUND(N81*M82,0)</f>
        <v>92058</v>
      </c>
      <c r="O82" s="268">
        <f>ROUND(N82/N75,4)</f>
        <v>1.0999999999999999E-2</v>
      </c>
      <c r="P82" s="260">
        <f>ROUND(P81*M82,0)</f>
        <v>99797</v>
      </c>
      <c r="Q82" s="268">
        <f>ROUND(P82/P75,4)</f>
        <v>1.0800000000000001E-2</v>
      </c>
      <c r="R82" s="260">
        <f>ROUND(R81*M82,0)</f>
        <v>103933</v>
      </c>
      <c r="S82" s="268">
        <f>ROUND(R82/R75,4)</f>
        <v>1.0800000000000001E-2</v>
      </c>
      <c r="T82" s="260">
        <f>ROUND(T81*M82,0)</f>
        <v>108070</v>
      </c>
      <c r="U82" s="268">
        <f>ROUND(T82/T75,4)</f>
        <v>1.0699999999999999E-2</v>
      </c>
      <c r="V82" s="260">
        <f>ROUND(V81*M82,0)</f>
        <v>132891</v>
      </c>
      <c r="W82" s="268">
        <f>ROUND(V82/V75,4)</f>
        <v>1.06E-2</v>
      </c>
      <c r="X82" s="260">
        <f>ROUND(X81*M82,0)</f>
        <v>145301</v>
      </c>
      <c r="Y82" s="268">
        <f>ROUND(X82/X75,4)</f>
        <v>1.0500000000000001E-2</v>
      </c>
      <c r="Z82" s="260">
        <f>ROUND(Z81*M82,0)</f>
        <v>151506</v>
      </c>
      <c r="AA82" s="268">
        <f>ROUND(Z82/Z75,4)</f>
        <v>1.0500000000000001E-2</v>
      </c>
      <c r="AB82" s="260">
        <f>ROUND(AB81*M82,0)</f>
        <v>157711</v>
      </c>
      <c r="AC82" s="268">
        <f>ROUND(AB82/AB75,4)</f>
        <v>1.04E-2</v>
      </c>
      <c r="AD82" s="260">
        <f>ROUND(AD81*M82,0)</f>
        <v>174258</v>
      </c>
      <c r="AE82" s="268">
        <f>ROUND(AD82/AD75,4)</f>
        <v>1.04E-2</v>
      </c>
      <c r="AF82" s="260">
        <f>ROUND(AF81*M82,0)</f>
        <v>182016</v>
      </c>
      <c r="AG82" s="268">
        <f>ROUND(AF82/AF75,4)</f>
        <v>9.9000000000000008E-3</v>
      </c>
      <c r="AH82" s="260">
        <f>ROUND(AH81*M82,0)</f>
        <v>200217</v>
      </c>
      <c r="AI82" s="268">
        <f>ROUND(AH82/AH75,4)</f>
        <v>9.9000000000000008E-3</v>
      </c>
      <c r="AJ82" s="260">
        <f>ROUND(AJ81*M82,0)</f>
        <v>206836</v>
      </c>
      <c r="AK82" s="268">
        <f>ROUND(AJ82/AJ75,4)</f>
        <v>9.9000000000000008E-3</v>
      </c>
      <c r="AL82" s="260">
        <f>ROUND(AL81*M82,0)</f>
        <v>209318</v>
      </c>
      <c r="AM82" s="268">
        <f>ROUND(AL82/AL75,4)</f>
        <v>9.9000000000000008E-3</v>
      </c>
      <c r="AN82" s="260">
        <f>ROUND(AN81*M82,0)</f>
        <v>218419</v>
      </c>
      <c r="AO82" s="268">
        <f>ROUND(AN82/AN75,4)</f>
        <v>9.9000000000000008E-3</v>
      </c>
      <c r="AP82" s="260">
        <f>ROUND(AP81*M82,0)</f>
        <v>248203</v>
      </c>
      <c r="AQ82" s="269">
        <f>ROUND(AP82/AP75,4)</f>
        <v>9.9000000000000008E-3</v>
      </c>
      <c r="AR82" s="260">
        <f>ROUND(AR81*M82,0)</f>
        <v>264750</v>
      </c>
      <c r="AS82" s="270">
        <f>ROUND(AR82/AR75,4)</f>
        <v>9.9000000000000008E-3</v>
      </c>
    </row>
    <row r="83" spans="11:45" ht="15" x14ac:dyDescent="0.25">
      <c r="K83" s="259" t="s">
        <v>188</v>
      </c>
      <c r="L83" s="239" t="s">
        <v>171</v>
      </c>
      <c r="M83" s="277">
        <v>0.5</v>
      </c>
      <c r="N83" s="260">
        <f>ROUND(N72*M83,0)</f>
        <v>344727</v>
      </c>
      <c r="O83" s="268">
        <f>ROUND(N83/N75,4)</f>
        <v>4.1099999999999998E-2</v>
      </c>
      <c r="P83" s="260">
        <f>ROUND(P72*M83,0)</f>
        <v>379200</v>
      </c>
      <c r="Q83" s="268">
        <f>ROUND(P83/P75,4)</f>
        <v>4.1099999999999998E-2</v>
      </c>
      <c r="R83" s="260">
        <f>ROUND(R72*M83,0)</f>
        <v>396436</v>
      </c>
      <c r="S83" s="268">
        <f>ROUND(R83/R75,4)</f>
        <v>4.1099999999999998E-2</v>
      </c>
      <c r="T83" s="260">
        <f>ROUND(T72*M83,0)</f>
        <v>413673</v>
      </c>
      <c r="U83" s="268">
        <f>ROUND(T83/T75,4)</f>
        <v>4.1099999999999998E-2</v>
      </c>
      <c r="V83" s="260">
        <f>ROUND(V72*M83,0)</f>
        <v>517091</v>
      </c>
      <c r="W83" s="268">
        <f>ROUND(V83/V75,4)</f>
        <v>4.1099999999999998E-2</v>
      </c>
      <c r="X83" s="260">
        <f>ROUND(X72*M83,0)</f>
        <v>568800</v>
      </c>
      <c r="Y83" s="268">
        <f>ROUND(X83/X75,4)</f>
        <v>4.1099999999999998E-2</v>
      </c>
      <c r="Z83" s="260">
        <f>ROUND(Z72*M83,0)</f>
        <v>594654</v>
      </c>
      <c r="AA83" s="268">
        <f>ROUND(Z83/Z75,4)</f>
        <v>4.1099999999999998E-2</v>
      </c>
      <c r="AB83" s="260">
        <f>ROUND(AB72*M83,0)</f>
        <v>620509</v>
      </c>
      <c r="AC83" s="268">
        <f>ROUND(AB83/AB75,4)</f>
        <v>4.1099999999999998E-2</v>
      </c>
      <c r="AD83" s="260">
        <f>ROUND(AD72*M83,0)</f>
        <v>689454</v>
      </c>
      <c r="AE83" s="268">
        <f>ROUND(AD83/AD75,4)</f>
        <v>4.1099999999999998E-2</v>
      </c>
      <c r="AF83" s="260">
        <f>ROUND(AF72*M83,0)</f>
        <v>758399</v>
      </c>
      <c r="AG83" s="268">
        <f>ROUND(AF83/AF75,4)</f>
        <v>4.1099999999999998E-2</v>
      </c>
      <c r="AH83" s="260">
        <f>ROUND(AH72*M83,0)</f>
        <v>834239</v>
      </c>
      <c r="AI83" s="268">
        <f>ROUND(AH83/AH75,4)</f>
        <v>4.1099999999999998E-2</v>
      </c>
      <c r="AJ83" s="260">
        <f>ROUND(AJ72*M83,0)</f>
        <v>861818</v>
      </c>
      <c r="AK83" s="268">
        <f>ROUND(AJ83/AJ75,4)</f>
        <v>4.1099999999999998E-2</v>
      </c>
      <c r="AL83" s="260">
        <f>ROUND(AL72*M83,0)</f>
        <v>872159</v>
      </c>
      <c r="AM83" s="268">
        <f>ROUND(AL83/AL75,4)</f>
        <v>4.1099999999999998E-2</v>
      </c>
      <c r="AN83" s="260">
        <f>ROUND(AN72*M83,0)</f>
        <v>910079</v>
      </c>
      <c r="AO83" s="268">
        <f>ROUND(AN83/AN75,4)</f>
        <v>4.1099999999999998E-2</v>
      </c>
      <c r="AP83" s="260">
        <f>ROUND(AP72*M83,0)</f>
        <v>1034181</v>
      </c>
      <c r="AQ83" s="269">
        <f>ROUND(AP83/AP75,4)</f>
        <v>4.1099999999999998E-2</v>
      </c>
      <c r="AR83" s="260">
        <f>ROUND(AR72*M83,0)</f>
        <v>1103126</v>
      </c>
      <c r="AS83" s="270">
        <f>ROUND(AR83/AR75,4)</f>
        <v>4.1099999999999998E-2</v>
      </c>
    </row>
    <row r="84" spans="11:45" ht="15" x14ac:dyDescent="0.25">
      <c r="K84" s="254" t="s">
        <v>189</v>
      </c>
      <c r="L84" s="239" t="s">
        <v>174</v>
      </c>
      <c r="M84" s="277">
        <v>1</v>
      </c>
      <c r="N84" s="260">
        <f>ROUND(N74*M84,0)</f>
        <v>767154</v>
      </c>
      <c r="O84" s="268">
        <f>ROUND(N84/N75,4)</f>
        <v>9.1499999999999998E-2</v>
      </c>
      <c r="P84" s="260">
        <f>ROUND(P74*M84,0)</f>
        <v>831639</v>
      </c>
      <c r="Q84" s="268">
        <f>ROUND(P84/P75,4)</f>
        <v>9.01E-2</v>
      </c>
      <c r="R84" s="260">
        <f>ROUND(R74*M84,0)</f>
        <v>866112</v>
      </c>
      <c r="S84" s="268">
        <f>ROUND(R84/R75,4)</f>
        <v>8.9800000000000005E-2</v>
      </c>
      <c r="T84" s="260">
        <f>ROUND(T74*M84,0)</f>
        <v>900585</v>
      </c>
      <c r="U84" s="268">
        <f>ROUND(T84/T75,4)</f>
        <v>8.9499999999999996E-2</v>
      </c>
      <c r="V84" s="260">
        <f>ROUND(V74*M84,0)</f>
        <v>1107421</v>
      </c>
      <c r="W84" s="268">
        <f>ROUND(V84/V75,4)</f>
        <v>8.7999999999999995E-2</v>
      </c>
      <c r="X84" s="260">
        <f>ROUND(X74*M84,0)</f>
        <v>1210839</v>
      </c>
      <c r="Y84" s="268">
        <f>ROUND(X84/X75,4)</f>
        <v>8.7499999999999994E-2</v>
      </c>
      <c r="Z84" s="260">
        <f>ROUND(Z74*M84,0)</f>
        <v>1262548</v>
      </c>
      <c r="AA84" s="268">
        <f>ROUND(Z84/Z75,4)</f>
        <v>8.7300000000000003E-2</v>
      </c>
      <c r="AB84" s="260">
        <f>ROUND(AB74*M84,0)</f>
        <v>1314257</v>
      </c>
      <c r="AC84" s="268">
        <f>ROUND(AB84/AB75,4)</f>
        <v>8.6999999999999994E-2</v>
      </c>
      <c r="AD84" s="260">
        <f>ROUND(AD74*M84,0)</f>
        <v>1452148</v>
      </c>
      <c r="AE84" s="268">
        <f>ROUND(AD84/AD75,4)</f>
        <v>8.6599999999999996E-2</v>
      </c>
      <c r="AF84" s="260">
        <f>ROUND(AF74*M84,0)</f>
        <v>1516799</v>
      </c>
      <c r="AG84" s="268">
        <f>ROUND(AF84/AF75,4)</f>
        <v>8.2199999999999995E-2</v>
      </c>
      <c r="AH84" s="260">
        <f>ROUND(AH74*M84,0)</f>
        <v>1668479</v>
      </c>
      <c r="AI84" s="268">
        <f>ROUND(AH84/AH75,4)</f>
        <v>8.2199999999999995E-2</v>
      </c>
      <c r="AJ84" s="260">
        <f>ROUND(AJ74*M84,0)</f>
        <v>1723635</v>
      </c>
      <c r="AK84" s="268">
        <f>ROUND(AJ84/AJ75,4)</f>
        <v>8.2199999999999995E-2</v>
      </c>
      <c r="AL84" s="260">
        <f>ROUND(AL74*M84,0)</f>
        <v>1744319</v>
      </c>
      <c r="AM84" s="268">
        <f>ROUND(AL84/AL75,4)</f>
        <v>8.2199999999999995E-2</v>
      </c>
      <c r="AN84" s="260">
        <f>ROUND(AN74*M84,0)</f>
        <v>1820159</v>
      </c>
      <c r="AO84" s="268">
        <f>ROUND(AN84/AN75,4)</f>
        <v>8.2199999999999995E-2</v>
      </c>
      <c r="AP84" s="260">
        <f>ROUND(AP74*M84,0)</f>
        <v>2068362</v>
      </c>
      <c r="AQ84" s="269">
        <f>ROUND(AP84/AP75,4)</f>
        <v>8.2199999999999995E-2</v>
      </c>
      <c r="AR84" s="260">
        <f>ROUND(AR74*M84,0)</f>
        <v>2206253</v>
      </c>
      <c r="AS84" s="270">
        <f>ROUND(AR84/AR75,4)</f>
        <v>8.2199999999999995E-2</v>
      </c>
    </row>
    <row r="85" spans="11:45" ht="15" x14ac:dyDescent="0.25">
      <c r="K85" s="271" t="s">
        <v>190</v>
      </c>
      <c r="L85" s="272"/>
      <c r="M85" s="273"/>
      <c r="N85" s="260"/>
      <c r="O85" s="274"/>
      <c r="P85" s="260"/>
      <c r="Q85" s="274"/>
      <c r="R85" s="260"/>
      <c r="S85" s="274"/>
      <c r="T85" s="260"/>
      <c r="U85" s="274"/>
      <c r="V85" s="260"/>
      <c r="W85" s="274"/>
      <c r="X85" s="260"/>
      <c r="Y85" s="274"/>
      <c r="Z85" s="260"/>
      <c r="AA85" s="274"/>
      <c r="AB85" s="260"/>
      <c r="AC85" s="274"/>
      <c r="AD85" s="260"/>
      <c r="AE85" s="274"/>
      <c r="AF85" s="260"/>
      <c r="AG85" s="274"/>
      <c r="AH85" s="260"/>
      <c r="AI85" s="274"/>
      <c r="AJ85" s="260"/>
      <c r="AK85" s="274"/>
      <c r="AL85" s="260"/>
      <c r="AM85" s="274"/>
      <c r="AN85" s="260"/>
      <c r="AO85" s="274"/>
      <c r="AP85" s="260"/>
      <c r="AQ85" s="275"/>
      <c r="AR85" s="260"/>
      <c r="AS85" s="276"/>
    </row>
    <row r="86" spans="11:45" ht="15" x14ac:dyDescent="0.25">
      <c r="K86" s="254" t="s">
        <v>191</v>
      </c>
      <c r="L86" s="239">
        <v>180000</v>
      </c>
      <c r="M86" s="278">
        <v>3</v>
      </c>
      <c r="N86" s="260">
        <f>L86*M86</f>
        <v>540000</v>
      </c>
      <c r="O86" s="268">
        <f>ROUND(N86/N75,4)</f>
        <v>6.4399999999999999E-2</v>
      </c>
      <c r="P86" s="260">
        <f>L86*M86</f>
        <v>540000</v>
      </c>
      <c r="Q86" s="268">
        <f>ROUND(P86/P75,4)</f>
        <v>5.8500000000000003E-2</v>
      </c>
      <c r="R86" s="260">
        <f>L86*M86</f>
        <v>540000</v>
      </c>
      <c r="S86" s="268">
        <f>ROUND(R86/R75,4)</f>
        <v>5.6000000000000001E-2</v>
      </c>
      <c r="T86" s="260">
        <f>L86*M86</f>
        <v>540000</v>
      </c>
      <c r="U86" s="268">
        <f>ROUND(T86/T75,4)</f>
        <v>5.3600000000000002E-2</v>
      </c>
      <c r="V86" s="260">
        <f>L86*M86</f>
        <v>540000</v>
      </c>
      <c r="W86" s="268">
        <f>ROUND(V86/V75,4)</f>
        <v>4.2900000000000001E-2</v>
      </c>
      <c r="X86" s="260">
        <f>L86*M86</f>
        <v>540000</v>
      </c>
      <c r="Y86" s="268">
        <f>ROUND(X86/X75,4)</f>
        <v>3.9E-2</v>
      </c>
      <c r="Z86" s="260">
        <f>L86*M86</f>
        <v>540000</v>
      </c>
      <c r="AA86" s="268">
        <f>ROUND(Z86/Z75,4)</f>
        <v>3.73E-2</v>
      </c>
      <c r="AB86" s="260">
        <f>L86*M86</f>
        <v>540000</v>
      </c>
      <c r="AC86" s="268">
        <f>ROUND(AB86/AB75,4)</f>
        <v>3.5799999999999998E-2</v>
      </c>
      <c r="AD86" s="260">
        <f>L86*M86</f>
        <v>540000</v>
      </c>
      <c r="AE86" s="268">
        <f>ROUND(AD86/AD75,4)</f>
        <v>3.2199999999999999E-2</v>
      </c>
      <c r="AF86" s="260">
        <v>0</v>
      </c>
      <c r="AG86" s="268">
        <f>ROUND(AF86/AF75,4)</f>
        <v>0</v>
      </c>
      <c r="AH86" s="260">
        <v>0</v>
      </c>
      <c r="AI86" s="268">
        <f>ROUND(AH86/AH75,4)</f>
        <v>0</v>
      </c>
      <c r="AJ86" s="260">
        <v>0</v>
      </c>
      <c r="AK86" s="268">
        <f>ROUND(AJ86/AJ75,4)</f>
        <v>0</v>
      </c>
      <c r="AL86" s="260">
        <v>0</v>
      </c>
      <c r="AM86" s="268">
        <f>ROUND(AL86/AL75,4)</f>
        <v>0</v>
      </c>
      <c r="AN86" s="260">
        <v>0</v>
      </c>
      <c r="AO86" s="268">
        <f>ROUND(AN86/AN75,4)</f>
        <v>0</v>
      </c>
      <c r="AP86" s="260">
        <v>0</v>
      </c>
      <c r="AQ86" s="269">
        <f>ROUND(AP86/AP75,4)</f>
        <v>0</v>
      </c>
      <c r="AR86" s="260">
        <v>0</v>
      </c>
      <c r="AS86" s="270">
        <f>ROUND(AR86/AR75,4)</f>
        <v>0</v>
      </c>
    </row>
    <row r="87" spans="11:45" ht="15" x14ac:dyDescent="0.25">
      <c r="K87" s="254" t="s">
        <v>192</v>
      </c>
      <c r="L87" s="239">
        <f>20000+10000+5000+3000+1000</f>
        <v>39000</v>
      </c>
      <c r="M87" s="278">
        <v>3</v>
      </c>
      <c r="N87" s="260">
        <f>L87*M87</f>
        <v>117000</v>
      </c>
      <c r="O87" s="268">
        <f>ROUND(N87/N75,4)</f>
        <v>1.3899999999999999E-2</v>
      </c>
      <c r="P87" s="260">
        <f>L87*M87</f>
        <v>117000</v>
      </c>
      <c r="Q87" s="268">
        <f>ROUND(P87/P75,4)</f>
        <v>1.2699999999999999E-2</v>
      </c>
      <c r="R87" s="260">
        <f>L87*M87</f>
        <v>117000</v>
      </c>
      <c r="S87" s="268">
        <f>ROUND(R87/R75,4)</f>
        <v>1.21E-2</v>
      </c>
      <c r="T87" s="260">
        <f>L87*M87</f>
        <v>117000</v>
      </c>
      <c r="U87" s="268">
        <f>ROUND(T87/T75,4)</f>
        <v>1.1599999999999999E-2</v>
      </c>
      <c r="V87" s="260">
        <f>L87*M87</f>
        <v>117000</v>
      </c>
      <c r="W87" s="268">
        <f>ROUND(V87/V75,4)</f>
        <v>9.2999999999999992E-3</v>
      </c>
      <c r="X87" s="260">
        <f>L87*M87</f>
        <v>117000</v>
      </c>
      <c r="Y87" s="268">
        <f>ROUND(X87/X75,4)</f>
        <v>8.5000000000000006E-3</v>
      </c>
      <c r="Z87" s="260">
        <f>L87*M87</f>
        <v>117000</v>
      </c>
      <c r="AA87" s="268">
        <f>ROUND(Z87/Z75,4)</f>
        <v>8.0999999999999996E-3</v>
      </c>
      <c r="AB87" s="260">
        <f>L87*M87</f>
        <v>117000</v>
      </c>
      <c r="AC87" s="268">
        <f>ROUND(AB87/AB75,4)</f>
        <v>7.7000000000000002E-3</v>
      </c>
      <c r="AD87" s="260">
        <f>L87*M87</f>
        <v>117000</v>
      </c>
      <c r="AE87" s="268">
        <f>ROUND(AD87/AD75,4)</f>
        <v>7.0000000000000001E-3</v>
      </c>
      <c r="AF87" s="260">
        <f>L87*M87</f>
        <v>117000</v>
      </c>
      <c r="AG87" s="268">
        <f>ROUND(AF87/AF75,4)</f>
        <v>6.3E-3</v>
      </c>
      <c r="AH87" s="260">
        <f>L87*M87</f>
        <v>117000</v>
      </c>
      <c r="AI87" s="268">
        <f>ROUND(AH87/AH75,4)</f>
        <v>5.7999999999999996E-3</v>
      </c>
      <c r="AJ87" s="260">
        <f>L87*M87</f>
        <v>117000</v>
      </c>
      <c r="AK87" s="268">
        <f>ROUND(AJ87/AJ75,4)</f>
        <v>5.5999999999999999E-3</v>
      </c>
      <c r="AL87" s="260">
        <f>L87*M87</f>
        <v>117000</v>
      </c>
      <c r="AM87" s="268">
        <f>ROUND(AL87/AL75,4)</f>
        <v>5.4999999999999997E-3</v>
      </c>
      <c r="AN87" s="260">
        <f>L87*M87</f>
        <v>117000</v>
      </c>
      <c r="AO87" s="268">
        <f>ROUND(AN87/AN75,4)</f>
        <v>5.3E-3</v>
      </c>
      <c r="AP87" s="260">
        <f>L87*M87</f>
        <v>117000</v>
      </c>
      <c r="AQ87" s="269">
        <f>ROUND(AP87/AP75,4)</f>
        <v>4.5999999999999999E-3</v>
      </c>
      <c r="AR87" s="260">
        <f>L87*M87</f>
        <v>117000</v>
      </c>
      <c r="AS87" s="270">
        <f>ROUND(AR87/AR75,4)</f>
        <v>4.4000000000000003E-3</v>
      </c>
    </row>
    <row r="88" spans="11:45" ht="15" x14ac:dyDescent="0.25">
      <c r="K88" s="271" t="s">
        <v>193</v>
      </c>
      <c r="L88" s="272"/>
      <c r="M88" s="273"/>
      <c r="N88" s="260"/>
      <c r="O88" s="274"/>
      <c r="P88" s="260"/>
      <c r="Q88" s="274"/>
      <c r="R88" s="260"/>
      <c r="S88" s="274"/>
      <c r="T88" s="260"/>
      <c r="U88" s="274"/>
      <c r="V88" s="260"/>
      <c r="W88" s="274"/>
      <c r="X88" s="260"/>
      <c r="Y88" s="274"/>
      <c r="Z88" s="260"/>
      <c r="AA88" s="274"/>
      <c r="AB88" s="260"/>
      <c r="AC88" s="274"/>
      <c r="AD88" s="260"/>
      <c r="AE88" s="274"/>
      <c r="AF88" s="260"/>
      <c r="AG88" s="274"/>
      <c r="AH88" s="260"/>
      <c r="AI88" s="274"/>
      <c r="AJ88" s="260"/>
      <c r="AK88" s="274"/>
      <c r="AL88" s="260"/>
      <c r="AM88" s="274"/>
      <c r="AN88" s="260"/>
      <c r="AO88" s="274"/>
      <c r="AP88" s="260"/>
      <c r="AQ88" s="275"/>
      <c r="AR88" s="260"/>
      <c r="AS88" s="276"/>
    </row>
    <row r="89" spans="11:45" ht="15" x14ac:dyDescent="0.25">
      <c r="K89" s="259" t="s">
        <v>194</v>
      </c>
      <c r="L89" s="239" t="s">
        <v>175</v>
      </c>
      <c r="M89" s="277">
        <v>0.12</v>
      </c>
      <c r="N89" s="260">
        <f>ROUND(N75*M89,0)</f>
        <v>1006603</v>
      </c>
      <c r="O89" s="268">
        <f>ROUND(N89/N75,4)</f>
        <v>0.12</v>
      </c>
      <c r="P89" s="260">
        <f>ROUND(P75*M89,0)</f>
        <v>1107263</v>
      </c>
      <c r="Q89" s="268">
        <f>ROUND(P89/P75,4)</f>
        <v>0.12</v>
      </c>
      <c r="R89" s="260">
        <f>ROUND(R75*M89,0)</f>
        <v>1157593</v>
      </c>
      <c r="S89" s="268">
        <f>ROUND(R89/R75,4)</f>
        <v>0.12</v>
      </c>
      <c r="T89" s="260">
        <f>ROUND(T75*M89,0)</f>
        <v>1207924</v>
      </c>
      <c r="U89" s="268">
        <f>ROUND(T89/T75,4)</f>
        <v>0.12</v>
      </c>
      <c r="V89" s="260">
        <f>ROUND(V75*M89,0)</f>
        <v>1509904</v>
      </c>
      <c r="W89" s="268">
        <f>ROUND(V89/V75,4)</f>
        <v>0.12</v>
      </c>
      <c r="X89" s="260">
        <f>ROUND(X75*M89,0)</f>
        <v>1660895</v>
      </c>
      <c r="Y89" s="268">
        <f>ROUND(X89/X75,4)</f>
        <v>0.12</v>
      </c>
      <c r="Z89" s="260">
        <f>ROUND(Z75*M89,0)</f>
        <v>1736390</v>
      </c>
      <c r="AA89" s="268">
        <f>ROUND(Z89/Z75,4)</f>
        <v>0.12</v>
      </c>
      <c r="AB89" s="260">
        <f>ROUND(AB75*M89,0)</f>
        <v>1811885</v>
      </c>
      <c r="AC89" s="268">
        <f>ROUND(AB89/AB75,4)</f>
        <v>0.12</v>
      </c>
      <c r="AD89" s="260">
        <f>ROUND(AD75*M89,0)</f>
        <v>2013206</v>
      </c>
      <c r="AE89" s="268">
        <f>ROUND(AD89/AD75,4)</f>
        <v>0.12</v>
      </c>
      <c r="AF89" s="260">
        <f>ROUND(AF75*M89,0)</f>
        <v>2214526</v>
      </c>
      <c r="AG89" s="268">
        <f>ROUND(AF89/AF75,4)</f>
        <v>0.12</v>
      </c>
      <c r="AH89" s="260">
        <f>ROUND(AH75*M89,0)</f>
        <v>2435979</v>
      </c>
      <c r="AI89" s="268">
        <f>ROUND(AH89/AH75,4)</f>
        <v>0.12</v>
      </c>
      <c r="AJ89" s="260">
        <f>ROUND(AJ75*M89,0)</f>
        <v>2516507</v>
      </c>
      <c r="AK89" s="268">
        <f>ROUND(AJ89/AJ75,4)</f>
        <v>0.12</v>
      </c>
      <c r="AL89" s="260">
        <f>ROUND(AL75*M89,0)</f>
        <v>2546705</v>
      </c>
      <c r="AM89" s="268">
        <f>ROUND(AL89/AL75,4)</f>
        <v>0.12</v>
      </c>
      <c r="AN89" s="260">
        <f>ROUND(AN75*M89,0)</f>
        <v>2657431</v>
      </c>
      <c r="AO89" s="268">
        <f>ROUND(AN89/AN75,4)</f>
        <v>0.12</v>
      </c>
      <c r="AP89" s="260">
        <f>ROUND(AP75*M89,0)</f>
        <v>3019809</v>
      </c>
      <c r="AQ89" s="269">
        <f>ROUND(AP89/AP75,4)</f>
        <v>0.12</v>
      </c>
      <c r="AR89" s="260">
        <f>ROUND(AR75*M89,0)</f>
        <v>3221129</v>
      </c>
      <c r="AS89" s="270">
        <f>ROUND(AR89/AR75,4)</f>
        <v>0.12</v>
      </c>
    </row>
    <row r="90" spans="11:45" ht="15" x14ac:dyDescent="0.25">
      <c r="K90" s="259" t="s">
        <v>195</v>
      </c>
      <c r="L90" s="239" t="s">
        <v>175</v>
      </c>
      <c r="M90" s="277">
        <v>8.5000000000000006E-2</v>
      </c>
      <c r="N90" s="260">
        <f>ROUND(N75*M90,0)</f>
        <v>713010</v>
      </c>
      <c r="O90" s="268">
        <f>ROUND(N90/N75,4)</f>
        <v>8.5000000000000006E-2</v>
      </c>
      <c r="P90" s="260">
        <f>ROUND(P75*M90,0)</f>
        <v>784311</v>
      </c>
      <c r="Q90" s="268">
        <f>ROUND(P90/P75,4)</f>
        <v>8.5000000000000006E-2</v>
      </c>
      <c r="R90" s="260">
        <f>ROUND(R75*M90,0)</f>
        <v>819962</v>
      </c>
      <c r="S90" s="268">
        <f>ROUND(R90/R75,4)</f>
        <v>8.5000000000000006E-2</v>
      </c>
      <c r="T90" s="260">
        <f>ROUND(T75*M90,0)</f>
        <v>855613</v>
      </c>
      <c r="U90" s="268">
        <f>ROUND(T90/T75,4)</f>
        <v>8.5000000000000006E-2</v>
      </c>
      <c r="V90" s="260">
        <f>ROUND(V75*M90,0)</f>
        <v>1069516</v>
      </c>
      <c r="W90" s="268">
        <f>ROUND(V90/V75,4)</f>
        <v>8.5000000000000006E-2</v>
      </c>
      <c r="X90" s="260">
        <f>ROUND(X75*M90,0)</f>
        <v>1176467</v>
      </c>
      <c r="Y90" s="268">
        <f>ROUND(X90/X75,4)</f>
        <v>8.5000000000000006E-2</v>
      </c>
      <c r="Z90" s="260">
        <f>ROUND(Z75*M90,0)</f>
        <v>1229943</v>
      </c>
      <c r="AA90" s="268">
        <f>ROUND(Z90/Z75,4)</f>
        <v>8.5000000000000006E-2</v>
      </c>
      <c r="AB90" s="260">
        <f>ROUND(AB75*M90,0)</f>
        <v>1283419</v>
      </c>
      <c r="AC90" s="268">
        <f>ROUND(AB90/AB75,4)</f>
        <v>8.5000000000000006E-2</v>
      </c>
      <c r="AD90" s="260">
        <f>ROUND(AD75*M90,0)</f>
        <v>1426021</v>
      </c>
      <c r="AE90" s="268">
        <f>ROUND(AD90/AD75,4)</f>
        <v>8.5000000000000006E-2</v>
      </c>
      <c r="AF90" s="260">
        <f>ROUND(AF75*M90,0)</f>
        <v>1568623</v>
      </c>
      <c r="AG90" s="268">
        <f>ROUND(AF90/AF75,4)</f>
        <v>8.5000000000000006E-2</v>
      </c>
      <c r="AH90" s="260">
        <f>ROUND(AH75*M90,0)</f>
        <v>1725485</v>
      </c>
      <c r="AI90" s="268">
        <f>ROUND(AH90/AH75,4)</f>
        <v>8.5000000000000006E-2</v>
      </c>
      <c r="AJ90" s="260">
        <f>ROUND(AJ75*M90,0)</f>
        <v>1782526</v>
      </c>
      <c r="AK90" s="268">
        <f>ROUND(AJ90/AJ75,4)</f>
        <v>8.5000000000000006E-2</v>
      </c>
      <c r="AL90" s="260">
        <f>ROUND(AL75*M90,0)</f>
        <v>1803916</v>
      </c>
      <c r="AM90" s="268">
        <f>ROUND(AL90/AL75,4)</f>
        <v>8.5000000000000006E-2</v>
      </c>
      <c r="AN90" s="260">
        <f>ROUND(AN75*M90,0)</f>
        <v>1882347</v>
      </c>
      <c r="AO90" s="268">
        <f>ROUND(AN90/AN75,4)</f>
        <v>8.5000000000000006E-2</v>
      </c>
      <c r="AP90" s="260">
        <f>ROUND(AP75*M90,0)</f>
        <v>2139031</v>
      </c>
      <c r="AQ90" s="269">
        <f>ROUND(AP90/AP75,4)</f>
        <v>8.5000000000000006E-2</v>
      </c>
      <c r="AR90" s="260">
        <f>ROUND(AR75*M90,0)</f>
        <v>2281633</v>
      </c>
      <c r="AS90" s="270">
        <f>ROUND(AR90/AR75,4)</f>
        <v>8.5000000000000006E-2</v>
      </c>
    </row>
    <row r="91" spans="11:45" ht="15" x14ac:dyDescent="0.25">
      <c r="K91" s="259" t="s">
        <v>196</v>
      </c>
      <c r="L91" s="239" t="s">
        <v>175</v>
      </c>
      <c r="M91" s="277">
        <v>6.9599999999999995E-2</v>
      </c>
      <c r="N91" s="260">
        <f>ROUND(N75*M91,0)</f>
        <v>583830</v>
      </c>
      <c r="O91" s="268">
        <f>ROUND(N91/N75,4)</f>
        <v>6.9599999999999995E-2</v>
      </c>
      <c r="P91" s="260">
        <f>ROUND(P75*M91,0)</f>
        <v>642212</v>
      </c>
      <c r="Q91" s="268">
        <f>ROUND(P91/P75,4)</f>
        <v>6.9599999999999995E-2</v>
      </c>
      <c r="R91" s="260">
        <f>ROUND(R75*M91,0)</f>
        <v>671404</v>
      </c>
      <c r="S91" s="268">
        <f>ROUND(R91/R75,4)</f>
        <v>6.9599999999999995E-2</v>
      </c>
      <c r="T91" s="260">
        <f>ROUND(T75*M91,0)</f>
        <v>700596</v>
      </c>
      <c r="U91" s="268">
        <f>ROUND(T91/T75,4)</f>
        <v>6.9599999999999995E-2</v>
      </c>
      <c r="V91" s="260">
        <f>ROUND(V75*M91,0)</f>
        <v>875745</v>
      </c>
      <c r="W91" s="268">
        <f>ROUND(V91/V75,4)</f>
        <v>6.9599999999999995E-2</v>
      </c>
      <c r="X91" s="260">
        <f>ROUND(X75*M91,0)</f>
        <v>963319</v>
      </c>
      <c r="Y91" s="268">
        <f>ROUND(X91/X75,4)</f>
        <v>6.9599999999999995E-2</v>
      </c>
      <c r="Z91" s="260">
        <f>ROUND(Z75*M91,0)</f>
        <v>1007106</v>
      </c>
      <c r="AA91" s="268">
        <f>ROUND(Z91/Z75,4)</f>
        <v>6.9599999999999995E-2</v>
      </c>
      <c r="AB91" s="260">
        <f>ROUND(AB75*M91,0)</f>
        <v>1050893</v>
      </c>
      <c r="AC91" s="268">
        <f>ROUND(AB91/AB75,4)</f>
        <v>6.9599999999999995E-2</v>
      </c>
      <c r="AD91" s="260">
        <f>ROUND(AD75*M91,0)</f>
        <v>1167659</v>
      </c>
      <c r="AE91" s="268">
        <f>ROUND(AD91/AD75,4)</f>
        <v>6.9599999999999995E-2</v>
      </c>
      <c r="AF91" s="260">
        <f>ROUND(AF75*M91,0)</f>
        <v>1284425</v>
      </c>
      <c r="AG91" s="268">
        <f>ROUND(AF91/AF75,4)</f>
        <v>6.9599999999999995E-2</v>
      </c>
      <c r="AH91" s="260">
        <f>ROUND(AH75*M91,0)</f>
        <v>1412868</v>
      </c>
      <c r="AI91" s="268">
        <f>ROUND(AH91/AH75,4)</f>
        <v>6.9599999999999995E-2</v>
      </c>
      <c r="AJ91" s="260">
        <f>ROUND(AJ75*M91,0)</f>
        <v>1459574</v>
      </c>
      <c r="AK91" s="268">
        <f>ROUND(AJ91/AJ75,4)</f>
        <v>6.9599999999999995E-2</v>
      </c>
      <c r="AL91" s="260">
        <f>ROUND(AL75*M91,0)</f>
        <v>1477089</v>
      </c>
      <c r="AM91" s="268">
        <f>ROUND(AL91/AL75,4)</f>
        <v>6.9599999999999995E-2</v>
      </c>
      <c r="AN91" s="260">
        <f>ROUND(AN75*M91,0)</f>
        <v>1541310</v>
      </c>
      <c r="AO91" s="268">
        <f>ROUND(AN91/AN75,4)</f>
        <v>6.9599999999999995E-2</v>
      </c>
      <c r="AP91" s="260">
        <f>ROUND(AP75*M91,0)</f>
        <v>1751489</v>
      </c>
      <c r="AQ91" s="269">
        <f>ROUND(AP91/AP75,4)</f>
        <v>6.9599999999999995E-2</v>
      </c>
      <c r="AR91" s="260">
        <f>ROUND(AR75*M91,0)</f>
        <v>1868255</v>
      </c>
      <c r="AS91" s="270">
        <f>ROUND(AR91/AR75,4)</f>
        <v>6.9599999999999995E-2</v>
      </c>
    </row>
    <row r="92" spans="11:45" ht="15" x14ac:dyDescent="0.25">
      <c r="K92" s="271" t="s">
        <v>197</v>
      </c>
      <c r="L92" s="272"/>
      <c r="M92" s="273"/>
      <c r="N92" s="260"/>
      <c r="O92" s="274"/>
      <c r="P92" s="260"/>
      <c r="Q92" s="274"/>
      <c r="R92" s="260"/>
      <c r="S92" s="274"/>
      <c r="T92" s="260"/>
      <c r="U92" s="274"/>
      <c r="V92" s="260"/>
      <c r="W92" s="274"/>
      <c r="X92" s="260"/>
      <c r="Y92" s="274"/>
      <c r="Z92" s="260"/>
      <c r="AA92" s="274"/>
      <c r="AB92" s="260"/>
      <c r="AC92" s="274"/>
      <c r="AD92" s="260"/>
      <c r="AE92" s="274"/>
      <c r="AF92" s="260"/>
      <c r="AG92" s="274"/>
      <c r="AH92" s="260"/>
      <c r="AI92" s="274"/>
      <c r="AJ92" s="260"/>
      <c r="AK92" s="274"/>
      <c r="AL92" s="260"/>
      <c r="AM92" s="274"/>
      <c r="AN92" s="260"/>
      <c r="AO92" s="274"/>
      <c r="AP92" s="260"/>
      <c r="AQ92" s="275"/>
      <c r="AR92" s="260"/>
      <c r="AS92" s="276"/>
    </row>
    <row r="93" spans="11:45" ht="15" x14ac:dyDescent="0.25">
      <c r="K93" s="259" t="s">
        <v>198</v>
      </c>
      <c r="L93" s="239" t="s">
        <v>175</v>
      </c>
      <c r="M93" s="277">
        <v>0.02</v>
      </c>
      <c r="N93" s="260">
        <f>ROUND(N75*M93,0)</f>
        <v>167767</v>
      </c>
      <c r="O93" s="268">
        <f>ROUND(N93/N75,4)</f>
        <v>0.02</v>
      </c>
      <c r="P93" s="260">
        <f>ROUND(P75*M93,0)</f>
        <v>184544</v>
      </c>
      <c r="Q93" s="268">
        <f>ROUND(P93/P75,4)</f>
        <v>0.02</v>
      </c>
      <c r="R93" s="260">
        <f>ROUND(R75*M93,0)</f>
        <v>192932</v>
      </c>
      <c r="S93" s="268">
        <f>ROUND(R93/R75,4)</f>
        <v>0.02</v>
      </c>
      <c r="T93" s="260">
        <f>ROUND(T75*M93,0)</f>
        <v>201321</v>
      </c>
      <c r="U93" s="268">
        <f>ROUND(T93/T75,4)</f>
        <v>0.02</v>
      </c>
      <c r="V93" s="260">
        <f>ROUND(V75*M93,0)</f>
        <v>251651</v>
      </c>
      <c r="W93" s="268">
        <f>ROUND(V93/V75,4)</f>
        <v>0.02</v>
      </c>
      <c r="X93" s="260">
        <f>ROUND(X75*M93,0)</f>
        <v>276816</v>
      </c>
      <c r="Y93" s="268">
        <f>ROUND(X93/X75,4)</f>
        <v>0.02</v>
      </c>
      <c r="Z93" s="260">
        <f>ROUND(Z75*M93,0)</f>
        <v>289398</v>
      </c>
      <c r="AA93" s="268">
        <f>ROUND(Z93/Z75,4)</f>
        <v>0.02</v>
      </c>
      <c r="AB93" s="260">
        <f>ROUND(AB75*M93,0)</f>
        <v>301981</v>
      </c>
      <c r="AC93" s="268">
        <f>ROUND(AB93/AB75,4)</f>
        <v>0.02</v>
      </c>
      <c r="AD93" s="260">
        <f>ROUND(AD75*M93,0)</f>
        <v>335534</v>
      </c>
      <c r="AE93" s="268">
        <f>ROUND(AD93/AD75,4)</f>
        <v>0.02</v>
      </c>
      <c r="AF93" s="260">
        <f>ROUND(AF75*M93,0)</f>
        <v>369088</v>
      </c>
      <c r="AG93" s="268">
        <f>ROUND(AF93/AF75,4)</f>
        <v>0.02</v>
      </c>
      <c r="AH93" s="260">
        <f>ROUND(AH75*O93,0)</f>
        <v>405996</v>
      </c>
      <c r="AI93" s="268">
        <f>ROUND(AH93/AH75,4)</f>
        <v>0.02</v>
      </c>
      <c r="AJ93" s="260">
        <f>ROUND(AJ75*M93,0)</f>
        <v>419418</v>
      </c>
      <c r="AK93" s="268">
        <f>ROUND(AJ93/AJ75,4)</f>
        <v>0.02</v>
      </c>
      <c r="AL93" s="260">
        <f>ROUND(AL75*M93,0)</f>
        <v>424451</v>
      </c>
      <c r="AM93" s="268">
        <f>ROUND(AL93/AL75,4)</f>
        <v>0.02</v>
      </c>
      <c r="AN93" s="260">
        <f>ROUND(AN75*M93,0)</f>
        <v>442905</v>
      </c>
      <c r="AO93" s="268">
        <f>ROUND(AN93/AN75,4)</f>
        <v>0.02</v>
      </c>
      <c r="AP93" s="260">
        <f>ROUND(AP75*M93,0)</f>
        <v>503301</v>
      </c>
      <c r="AQ93" s="269">
        <f>ROUND(AP93/AP75,4)</f>
        <v>0.02</v>
      </c>
      <c r="AR93" s="260">
        <f>ROUND(AR75*M93,0)</f>
        <v>536855</v>
      </c>
      <c r="AS93" s="270">
        <f>ROUND(AR93/AR75,4)</f>
        <v>0.02</v>
      </c>
    </row>
    <row r="94" spans="11:45" ht="15" x14ac:dyDescent="0.25">
      <c r="K94" s="259" t="s">
        <v>199</v>
      </c>
      <c r="L94" s="239" t="s">
        <v>175</v>
      </c>
      <c r="M94" s="279">
        <v>0.5</v>
      </c>
      <c r="N94" s="260">
        <f>ROUND(N72*12/40,0)</f>
        <v>206836</v>
      </c>
      <c r="O94" s="268">
        <f>ROUND(N94/N75,4)</f>
        <v>2.47E-2</v>
      </c>
      <c r="P94" s="260">
        <f>ROUND(N72*12/40,0)</f>
        <v>206836</v>
      </c>
      <c r="Q94" s="268">
        <f>ROUND(P94/P75,4)</f>
        <v>2.24E-2</v>
      </c>
      <c r="R94" s="260">
        <f>ROUND(N72*12/40,0)</f>
        <v>206836</v>
      </c>
      <c r="S94" s="268">
        <f>ROUND(R94/R75,4)</f>
        <v>2.1399999999999999E-2</v>
      </c>
      <c r="T94" s="260">
        <f>ROUND(N72*12/40,0)</f>
        <v>206836</v>
      </c>
      <c r="U94" s="268">
        <f>ROUND(T94/T75,4)</f>
        <v>2.0500000000000001E-2</v>
      </c>
      <c r="V94" s="260">
        <f>ROUND(N72*12/40,0)</f>
        <v>206836</v>
      </c>
      <c r="W94" s="268">
        <f>ROUND(V94/V75,4)</f>
        <v>1.6400000000000001E-2</v>
      </c>
      <c r="X94" s="260">
        <f>ROUND(N72*12/40,0)</f>
        <v>206836</v>
      </c>
      <c r="Y94" s="268">
        <f>ROUND(X94/X75,4)</f>
        <v>1.49E-2</v>
      </c>
      <c r="Z94" s="260">
        <f>ROUND(N72*12/40,0)</f>
        <v>206836</v>
      </c>
      <c r="AA94" s="268">
        <f>ROUND(Z94/Z75,4)</f>
        <v>1.43E-2</v>
      </c>
      <c r="AB94" s="260">
        <f>ROUND(N72*12/40,0)</f>
        <v>206836</v>
      </c>
      <c r="AC94" s="268">
        <f>ROUND(AB94/AB75,4)</f>
        <v>1.37E-2</v>
      </c>
      <c r="AD94" s="260">
        <f>ROUND(N72*12/40,0)</f>
        <v>206836</v>
      </c>
      <c r="AE94" s="268">
        <f>ROUND(AD94/AD75,4)</f>
        <v>1.23E-2</v>
      </c>
      <c r="AF94" s="260">
        <f>ROUND(N72*12/40,0)</f>
        <v>206836</v>
      </c>
      <c r="AG94" s="268">
        <f>ROUND(AF94/AF75,4)</f>
        <v>1.12E-2</v>
      </c>
      <c r="AH94" s="260">
        <f>ROUND(N72*12/40,0)</f>
        <v>206836</v>
      </c>
      <c r="AI94" s="268">
        <f>ROUND(AH94/AH75,4)</f>
        <v>1.0200000000000001E-2</v>
      </c>
      <c r="AJ94" s="260">
        <f>ROUND(N72*12/40,0)</f>
        <v>206836</v>
      </c>
      <c r="AK94" s="268">
        <f>ROUND(AJ94/AJ75,4)</f>
        <v>9.9000000000000008E-3</v>
      </c>
      <c r="AL94" s="260">
        <f>ROUND(N72*12/40,0)</f>
        <v>206836</v>
      </c>
      <c r="AM94" s="268">
        <f>ROUND(AL94/AL75,4)</f>
        <v>9.7000000000000003E-3</v>
      </c>
      <c r="AN94" s="260">
        <f>ROUND(N72*12/40,0)</f>
        <v>206836</v>
      </c>
      <c r="AO94" s="268">
        <f>ROUND(AN94/AN75,4)</f>
        <v>9.2999999999999992E-3</v>
      </c>
      <c r="AP94" s="260">
        <f>ROUND(N72*12/40,0)</f>
        <v>206836</v>
      </c>
      <c r="AQ94" s="269">
        <f>ROUND(AP94/AP75,4)</f>
        <v>8.2000000000000007E-3</v>
      </c>
      <c r="AR94" s="260">
        <f>ROUND(N72*12/40,0)</f>
        <v>206836</v>
      </c>
      <c r="AS94" s="270">
        <f>ROUND(AR94/AR75,4)</f>
        <v>7.7000000000000002E-3</v>
      </c>
    </row>
    <row r="95" spans="11:45" ht="15" x14ac:dyDescent="0.25">
      <c r="K95" s="271" t="s">
        <v>200</v>
      </c>
      <c r="L95" s="272"/>
      <c r="M95" s="273"/>
      <c r="N95" s="260"/>
      <c r="O95" s="274"/>
      <c r="P95" s="260"/>
      <c r="Q95" s="274"/>
      <c r="R95" s="260"/>
      <c r="S95" s="274"/>
      <c r="T95" s="260"/>
      <c r="U95" s="274"/>
      <c r="V95" s="260"/>
      <c r="W95" s="274"/>
      <c r="X95" s="260"/>
      <c r="Y95" s="274"/>
      <c r="Z95" s="260"/>
      <c r="AA95" s="274"/>
      <c r="AB95" s="260"/>
      <c r="AC95" s="274"/>
      <c r="AD95" s="260"/>
      <c r="AE95" s="274"/>
      <c r="AF95" s="260"/>
      <c r="AG95" s="274"/>
      <c r="AH95" s="260"/>
      <c r="AI95" s="274"/>
      <c r="AJ95" s="260"/>
      <c r="AK95" s="274"/>
      <c r="AL95" s="260"/>
      <c r="AM95" s="274"/>
      <c r="AN95" s="260"/>
      <c r="AO95" s="274"/>
      <c r="AP95" s="260"/>
      <c r="AQ95" s="275"/>
      <c r="AR95" s="260"/>
      <c r="AS95" s="276"/>
    </row>
    <row r="96" spans="11:45" ht="15" x14ac:dyDescent="0.25">
      <c r="K96" s="259" t="s">
        <v>201</v>
      </c>
      <c r="L96" s="239" t="s">
        <v>175</v>
      </c>
      <c r="M96" s="277">
        <v>0.03</v>
      </c>
      <c r="N96" s="260">
        <f>ROUND(N75*M96,0)</f>
        <v>251651</v>
      </c>
      <c r="O96" s="268">
        <f>ROUND(N96/N75,4)</f>
        <v>0.03</v>
      </c>
      <c r="P96" s="260">
        <f>ROUND(P75*M96,0)</f>
        <v>276816</v>
      </c>
      <c r="Q96" s="268">
        <f>ROUND(P96/P75,4)</f>
        <v>0.03</v>
      </c>
      <c r="R96" s="260">
        <f>ROUND(R75*M96,0)</f>
        <v>289398</v>
      </c>
      <c r="S96" s="268">
        <f>ROUND(R96/R75,4)</f>
        <v>0.03</v>
      </c>
      <c r="T96" s="260">
        <f>ROUND(T75*M96,0)</f>
        <v>301981</v>
      </c>
      <c r="U96" s="268">
        <f>ROUND(T96/T75,4)</f>
        <v>0.03</v>
      </c>
      <c r="V96" s="260">
        <f>ROUND(V75*M96,0)</f>
        <v>377476</v>
      </c>
      <c r="W96" s="268">
        <f>ROUND(V96/V75,4)</f>
        <v>0.03</v>
      </c>
      <c r="X96" s="260">
        <f>ROUND(X75*M96,0)</f>
        <v>415224</v>
      </c>
      <c r="Y96" s="268">
        <f>ROUND(X96/X75,4)</f>
        <v>0.03</v>
      </c>
      <c r="Z96" s="260">
        <f>ROUND(Z75*M96,0)</f>
        <v>434097</v>
      </c>
      <c r="AA96" s="268">
        <f>ROUND(Z96/Z75,4)</f>
        <v>0.03</v>
      </c>
      <c r="AB96" s="260">
        <f>ROUND(AB75*M96,0)</f>
        <v>452971</v>
      </c>
      <c r="AC96" s="268">
        <f>ROUND(AB96/AB75,4)</f>
        <v>0.03</v>
      </c>
      <c r="AD96" s="260">
        <f>ROUND(AD75*M96,0)</f>
        <v>503301</v>
      </c>
      <c r="AE96" s="268">
        <f>ROUND(AD96/AD75,4)</f>
        <v>0.03</v>
      </c>
      <c r="AF96" s="260">
        <f>ROUND(AF75*M96,0)</f>
        <v>553632</v>
      </c>
      <c r="AG96" s="268">
        <f>ROUND(AF96/AF75,4)</f>
        <v>0.03</v>
      </c>
      <c r="AH96" s="260">
        <f>ROUND(AH75*M96,0)</f>
        <v>608995</v>
      </c>
      <c r="AI96" s="268">
        <f>ROUND(AH96/AH75,4)</f>
        <v>0.03</v>
      </c>
      <c r="AJ96" s="260">
        <f>ROUND(AJ75*M96,0)</f>
        <v>629127</v>
      </c>
      <c r="AK96" s="268">
        <f>ROUND(AJ96/AJ75,4)</f>
        <v>0.03</v>
      </c>
      <c r="AL96" s="260">
        <f>ROUND(AL75*M96,0)</f>
        <v>636676</v>
      </c>
      <c r="AM96" s="268">
        <f>ROUND(AL96/AL75,4)</f>
        <v>0.03</v>
      </c>
      <c r="AN96" s="260">
        <f>ROUND(AN75*M96,0)</f>
        <v>664358</v>
      </c>
      <c r="AO96" s="268">
        <f>ROUND(AN96/AN75,4)</f>
        <v>0.03</v>
      </c>
      <c r="AP96" s="260">
        <f>ROUND(AP75*M96,0)</f>
        <v>754952</v>
      </c>
      <c r="AQ96" s="269">
        <f>ROUND(AP96/AP75,4)</f>
        <v>0.03</v>
      </c>
      <c r="AR96" s="260">
        <f>ROUND(AR75*M96,0)</f>
        <v>805282</v>
      </c>
      <c r="AS96" s="270">
        <f>ROUND(AR96/AR75,4)</f>
        <v>0.03</v>
      </c>
    </row>
    <row r="97" spans="11:45" ht="15" x14ac:dyDescent="0.25">
      <c r="K97" s="259" t="s">
        <v>202</v>
      </c>
      <c r="L97" s="239" t="s">
        <v>175</v>
      </c>
      <c r="M97" s="277">
        <v>0.04</v>
      </c>
      <c r="N97" s="260">
        <f>ROUND(N75*M97,0)</f>
        <v>335534</v>
      </c>
      <c r="O97" s="268">
        <f>ROUND(N97/N75,4)</f>
        <v>0.04</v>
      </c>
      <c r="P97" s="260">
        <f>ROUND(P75*M97,0)</f>
        <v>369088</v>
      </c>
      <c r="Q97" s="268">
        <f>ROUND(P97/P75,4)</f>
        <v>0.04</v>
      </c>
      <c r="R97" s="260">
        <f>ROUND(R75*M97,0)</f>
        <v>385864</v>
      </c>
      <c r="S97" s="268">
        <f>ROUND(R97/R75,4)</f>
        <v>0.04</v>
      </c>
      <c r="T97" s="260">
        <f>ROUND(T75*M97,0)</f>
        <v>402641</v>
      </c>
      <c r="U97" s="268">
        <f>ROUND(T97/T75,4)</f>
        <v>0.04</v>
      </c>
      <c r="V97" s="260">
        <f>ROUND(V75*M97,0)</f>
        <v>503301</v>
      </c>
      <c r="W97" s="268">
        <f>ROUND(V97/V75,4)</f>
        <v>0.04</v>
      </c>
      <c r="X97" s="260">
        <f>ROUND(X75*M97,0)</f>
        <v>553632</v>
      </c>
      <c r="Y97" s="268">
        <f>ROUND(X97/X75,4)</f>
        <v>0.04</v>
      </c>
      <c r="Z97" s="260">
        <f>ROUND(Z75*M97,0)</f>
        <v>578797</v>
      </c>
      <c r="AA97" s="268">
        <f>ROUND(Z97/Z75,4)</f>
        <v>0.04</v>
      </c>
      <c r="AB97" s="260">
        <f>ROUND(AB75*M97,0)</f>
        <v>603962</v>
      </c>
      <c r="AC97" s="268">
        <f>ROUND(AB97/AB75,4)</f>
        <v>0.04</v>
      </c>
      <c r="AD97" s="260">
        <f>ROUND(AD75*M97,0)</f>
        <v>671069</v>
      </c>
      <c r="AE97" s="268">
        <f>ROUND(AD97/AD75,4)</f>
        <v>0.04</v>
      </c>
      <c r="AF97" s="260">
        <f>ROUND(AF75*M97,0)</f>
        <v>738175</v>
      </c>
      <c r="AG97" s="268">
        <f>ROUND(AF97/AF75,4)</f>
        <v>0.04</v>
      </c>
      <c r="AH97" s="260">
        <f>ROUND(AH75*M97,0)</f>
        <v>811993</v>
      </c>
      <c r="AI97" s="268">
        <f>ROUND(AH97/AH75,4)</f>
        <v>0.04</v>
      </c>
      <c r="AJ97" s="260">
        <f>ROUND(AJ75*M97,0)</f>
        <v>838836</v>
      </c>
      <c r="AK97" s="268">
        <f>ROUND(AJ97/AJ75,4)</f>
        <v>0.04</v>
      </c>
      <c r="AL97" s="260">
        <f>ROUND(AL75*M97,0)</f>
        <v>848902</v>
      </c>
      <c r="AM97" s="268">
        <f>ROUND(AL97/AL75,4)</f>
        <v>0.04</v>
      </c>
      <c r="AN97" s="260">
        <f>ROUND(AN75*M97,0)</f>
        <v>885810</v>
      </c>
      <c r="AO97" s="268">
        <f>ROUND(AN97/AN75,4)</f>
        <v>0.04</v>
      </c>
      <c r="AP97" s="260">
        <f>ROUND(AP75*M97,0)</f>
        <v>1006603</v>
      </c>
      <c r="AQ97" s="269">
        <f>ROUND(AP97/AP75,4)</f>
        <v>0.04</v>
      </c>
      <c r="AR97" s="260">
        <f>ROUND(AR75*M97,0)</f>
        <v>1073710</v>
      </c>
      <c r="AS97" s="270">
        <f>ROUND(AR97/AR75,4)</f>
        <v>0.04</v>
      </c>
    </row>
    <row r="98" spans="11:45" ht="15" thickBot="1" x14ac:dyDescent="0.25">
      <c r="K98" s="280" t="s">
        <v>203</v>
      </c>
      <c r="L98" s="281"/>
      <c r="M98" s="282"/>
      <c r="N98" s="283">
        <f t="shared" ref="N98:AS98" si="3">SUM(N78:N97)</f>
        <v>15172767.666666666</v>
      </c>
      <c r="O98" s="284">
        <f t="shared" si="3"/>
        <v>1.8088999999999995</v>
      </c>
      <c r="P98" s="283">
        <f t="shared" si="3"/>
        <v>16488619.666666666</v>
      </c>
      <c r="Q98" s="284">
        <f t="shared" si="3"/>
        <v>1.7868999999999997</v>
      </c>
      <c r="R98" s="283">
        <f t="shared" si="3"/>
        <v>17151277.666666664</v>
      </c>
      <c r="S98" s="284">
        <f t="shared" si="3"/>
        <v>1.778</v>
      </c>
      <c r="T98" s="283">
        <f>SUM(T78:T97)</f>
        <v>17813942.666666664</v>
      </c>
      <c r="U98" s="284">
        <f>SUM(U78:U97)</f>
        <v>1.7695999999999996</v>
      </c>
      <c r="V98" s="283">
        <f t="shared" si="3"/>
        <v>21789875.666666664</v>
      </c>
      <c r="W98" s="284">
        <f t="shared" si="3"/>
        <v>1.7316999999999998</v>
      </c>
      <c r="X98" s="283">
        <f>SUM(X78:X97)</f>
        <v>23777843.766666666</v>
      </c>
      <c r="Y98" s="284">
        <f>SUM(Y78:Y97)</f>
        <v>1.7179999999999993</v>
      </c>
      <c r="Z98" s="283">
        <f>SUM(Z78:Z97)</f>
        <v>24771825.816666666</v>
      </c>
      <c r="AA98" s="284">
        <f>SUM(AA78:AA97)</f>
        <v>1.7120999999999997</v>
      </c>
      <c r="AB98" s="283">
        <f t="shared" si="3"/>
        <v>25765810.866666667</v>
      </c>
      <c r="AC98" s="284">
        <f t="shared" si="3"/>
        <v>1.7062999999999999</v>
      </c>
      <c r="AD98" s="283">
        <f t="shared" si="3"/>
        <v>28416434.666666668</v>
      </c>
      <c r="AE98" s="284">
        <f t="shared" si="3"/>
        <v>1.6938999999999997</v>
      </c>
      <c r="AF98" s="283">
        <f t="shared" si="3"/>
        <v>29480702.800000001</v>
      </c>
      <c r="AG98" s="284">
        <f t="shared" si="3"/>
        <v>1.5974999999999999</v>
      </c>
      <c r="AH98" s="283">
        <f t="shared" si="3"/>
        <v>32396389.68</v>
      </c>
      <c r="AI98" s="284">
        <f t="shared" si="3"/>
        <v>1.5960000000000001</v>
      </c>
      <c r="AJ98" s="283">
        <f>SUM(AJ78:AJ97)</f>
        <v>33456641</v>
      </c>
      <c r="AK98" s="284">
        <f>SUM(AK78:AK97)</f>
        <v>1.5955000000000001</v>
      </c>
      <c r="AL98" s="283">
        <f t="shared" si="3"/>
        <v>33854232.620000005</v>
      </c>
      <c r="AM98" s="284">
        <f t="shared" si="3"/>
        <v>1.5952</v>
      </c>
      <c r="AN98" s="283">
        <f>SUM(AN78:AN97)</f>
        <v>35312074.560000002</v>
      </c>
      <c r="AO98" s="284">
        <f>SUM(AO78:AO97)</f>
        <v>1.5946</v>
      </c>
      <c r="AP98" s="283">
        <f t="shared" si="3"/>
        <v>40083200</v>
      </c>
      <c r="AQ98" s="285">
        <f t="shared" si="3"/>
        <v>1.5927999999999998</v>
      </c>
      <c r="AR98" s="283">
        <f t="shared" si="3"/>
        <v>42733823.799999997</v>
      </c>
      <c r="AS98" s="286">
        <f t="shared" si="3"/>
        <v>1.5920999999999998</v>
      </c>
    </row>
    <row r="99" spans="11:45" ht="15.75" thickTop="1" x14ac:dyDescent="0.25">
      <c r="N99" s="287">
        <v>365</v>
      </c>
      <c r="O99" s="288"/>
      <c r="P99" s="287">
        <v>365</v>
      </c>
      <c r="Q99" s="288"/>
      <c r="R99" s="287">
        <v>365</v>
      </c>
      <c r="S99" s="288"/>
      <c r="T99" s="287">
        <v>365</v>
      </c>
      <c r="U99" s="288"/>
      <c r="V99" s="289">
        <v>365</v>
      </c>
      <c r="W99" s="290"/>
      <c r="X99" s="289">
        <v>365</v>
      </c>
      <c r="Y99" s="290"/>
      <c r="Z99" s="289">
        <v>365</v>
      </c>
      <c r="AA99" s="290"/>
      <c r="AB99" s="289">
        <v>365</v>
      </c>
      <c r="AC99" s="290"/>
      <c r="AD99" s="136">
        <v>365</v>
      </c>
      <c r="AE99" s="291"/>
      <c r="AF99" s="136">
        <v>365</v>
      </c>
      <c r="AG99" s="291"/>
      <c r="AH99" s="136">
        <v>365</v>
      </c>
      <c r="AI99" s="291"/>
      <c r="AJ99" s="136">
        <v>365</v>
      </c>
      <c r="AK99" s="291"/>
      <c r="AL99" s="136">
        <v>365</v>
      </c>
      <c r="AM99" s="291"/>
      <c r="AN99" s="136">
        <v>365</v>
      </c>
      <c r="AO99" s="291"/>
      <c r="AP99" s="136">
        <v>365</v>
      </c>
      <c r="AQ99" s="291"/>
      <c r="AR99" s="136">
        <v>365</v>
      </c>
    </row>
    <row r="100" spans="11:45" ht="15" x14ac:dyDescent="0.25">
      <c r="K100" s="292"/>
      <c r="N100" s="293">
        <f>N98/N99</f>
        <v>41569.226484018262</v>
      </c>
      <c r="O100" s="294"/>
      <c r="P100" s="293">
        <f>P98/P99</f>
        <v>45174.300456621</v>
      </c>
      <c r="Q100" s="294"/>
      <c r="R100" s="293">
        <f>R98/R99</f>
        <v>46989.801826484014</v>
      </c>
      <c r="S100" s="294"/>
      <c r="T100" s="293">
        <f>T98/T99</f>
        <v>48805.322374429219</v>
      </c>
      <c r="U100" s="294"/>
      <c r="V100" s="295">
        <f>V98/V99</f>
        <v>59698.289497716891</v>
      </c>
      <c r="W100" s="288"/>
      <c r="X100" s="295">
        <f>X98/X99</f>
        <v>65144.777442922372</v>
      </c>
      <c r="Y100" s="288"/>
      <c r="Z100" s="295">
        <f>Z98/Z99</f>
        <v>67868.015936073061</v>
      </c>
      <c r="AA100" s="288"/>
      <c r="AB100" s="295">
        <f>AB98/AB99</f>
        <v>70591.262648401826</v>
      </c>
      <c r="AC100" s="288"/>
      <c r="AD100" s="296">
        <f>AD98/AD99</f>
        <v>77853.245662100453</v>
      </c>
      <c r="AE100" s="297"/>
      <c r="AF100" s="296">
        <f>AF98/AF99</f>
        <v>80769.048767123284</v>
      </c>
      <c r="AG100" s="297"/>
      <c r="AH100" s="296">
        <f>AH98/AH99</f>
        <v>88757.232000000004</v>
      </c>
      <c r="AI100" s="297"/>
      <c r="AJ100" s="296">
        <f>AJ98/AJ99</f>
        <v>91662.030136986301</v>
      </c>
      <c r="AK100" s="297"/>
      <c r="AL100" s="296">
        <f>AL98/AL99</f>
        <v>92751.32224657535</v>
      </c>
      <c r="AM100" s="297"/>
      <c r="AN100" s="296">
        <f>AN98/AN99</f>
        <v>96745.409753424668</v>
      </c>
      <c r="AO100" s="297"/>
      <c r="AP100" s="296">
        <f>AP98/AP99</f>
        <v>109816.98630136986</v>
      </c>
      <c r="AQ100" s="297"/>
      <c r="AR100" s="296">
        <f>AR98/AR99</f>
        <v>117078.96931506849</v>
      </c>
      <c r="AS100" s="298"/>
    </row>
    <row r="105" spans="11:45" x14ac:dyDescent="0.2">
      <c r="N105" s="297"/>
    </row>
  </sheetData>
  <mergeCells count="56">
    <mergeCell ref="AP70:AQ70"/>
    <mergeCell ref="AR70:AS70"/>
    <mergeCell ref="C71:D71"/>
    <mergeCell ref="C72:D72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P70:Q70"/>
    <mergeCell ref="K54:L54"/>
    <mergeCell ref="C62:G62"/>
    <mergeCell ref="C63:D63"/>
    <mergeCell ref="C64:D64"/>
    <mergeCell ref="C65:D65"/>
    <mergeCell ref="C66:D66"/>
    <mergeCell ref="C67:D67"/>
    <mergeCell ref="C68:D68"/>
    <mergeCell ref="C69:D69"/>
    <mergeCell ref="C70:D70"/>
    <mergeCell ref="N70:O70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41:L41"/>
    <mergeCell ref="B1:P1"/>
    <mergeCell ref="B2:I2"/>
    <mergeCell ref="B3:I3"/>
    <mergeCell ref="B4:I4"/>
    <mergeCell ref="B5:I5"/>
    <mergeCell ref="B6:B7"/>
    <mergeCell ref="C6:C7"/>
    <mergeCell ref="D6:D7"/>
    <mergeCell ref="E6:E7"/>
    <mergeCell ref="F6:F7"/>
    <mergeCell ref="K23:N23"/>
    <mergeCell ref="K37:M37"/>
    <mergeCell ref="K38:L38"/>
    <mergeCell ref="K39:L39"/>
    <mergeCell ref="K40:L40"/>
  </mergeCells>
  <pageMargins left="0.7" right="0.7" top="0.75" bottom="0.75" header="0.3" footer="0.3"/>
  <pageSetup paperSize="5" scale="9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J44"/>
  <sheetViews>
    <sheetView workbookViewId="0">
      <selection activeCell="B10" sqref="B10:I10"/>
    </sheetView>
  </sheetViews>
  <sheetFormatPr baseColWidth="10" defaultRowHeight="12.75" x14ac:dyDescent="0.2"/>
  <cols>
    <col min="1" max="1" width="5.140625" style="94" customWidth="1"/>
    <col min="2" max="2" width="30.140625" style="94" customWidth="1"/>
    <col min="3" max="3" width="8.42578125" style="94" customWidth="1"/>
    <col min="4" max="4" width="10.140625" style="94" customWidth="1"/>
    <col min="5" max="5" width="7.140625" style="94" customWidth="1"/>
    <col min="6" max="6" width="7.85546875" style="94" customWidth="1"/>
    <col min="7" max="7" width="11.85546875" style="94" customWidth="1"/>
    <col min="8" max="8" width="7.28515625" style="94" customWidth="1"/>
    <col min="9" max="9" width="13.28515625" style="94" customWidth="1"/>
    <col min="10" max="16384" width="11.42578125" style="94"/>
  </cols>
  <sheetData>
    <row r="1" spans="1:9" ht="51.75" customHeight="1" thickBot="1" x14ac:dyDescent="0.25"/>
    <row r="2" spans="1:9" s="34" customFormat="1" x14ac:dyDescent="0.2">
      <c r="A2" s="819" t="s">
        <v>358</v>
      </c>
      <c r="B2" s="820"/>
      <c r="C2" s="820"/>
      <c r="D2" s="820"/>
      <c r="E2" s="820"/>
      <c r="F2" s="820"/>
      <c r="G2" s="820"/>
      <c r="H2" s="820"/>
      <c r="I2" s="821"/>
    </row>
    <row r="3" spans="1:9" s="34" customFormat="1" ht="15" customHeight="1" x14ac:dyDescent="0.2">
      <c r="A3" s="76"/>
      <c r="B3" s="713" t="s">
        <v>54</v>
      </c>
      <c r="C3" s="713"/>
      <c r="D3" s="713"/>
      <c r="E3" s="713"/>
      <c r="F3" s="713"/>
      <c r="G3" s="713"/>
      <c r="H3" s="713"/>
      <c r="I3" s="714"/>
    </row>
    <row r="4" spans="1:9" s="34" customFormat="1" x14ac:dyDescent="0.2">
      <c r="A4" s="76"/>
      <c r="B4" s="713"/>
      <c r="C4" s="713"/>
      <c r="D4" s="713"/>
      <c r="E4" s="713"/>
      <c r="F4" s="713"/>
      <c r="G4" s="77"/>
      <c r="H4" s="77"/>
      <c r="I4" s="79"/>
    </row>
    <row r="5" spans="1:9" s="34" customFormat="1" ht="12.75" customHeight="1" x14ac:dyDescent="0.2">
      <c r="A5" s="822" t="s">
        <v>411</v>
      </c>
      <c r="B5" s="823"/>
      <c r="C5" s="823"/>
      <c r="D5" s="823"/>
      <c r="E5" s="823"/>
      <c r="F5" s="823"/>
      <c r="G5" s="823"/>
      <c r="H5" s="823"/>
      <c r="I5" s="824"/>
    </row>
    <row r="6" spans="1:9" s="34" customFormat="1" ht="9.75" customHeight="1" x14ac:dyDescent="0.2">
      <c r="A6" s="825"/>
      <c r="B6" s="826"/>
      <c r="C6" s="826"/>
      <c r="D6" s="826"/>
      <c r="E6" s="826"/>
      <c r="F6" s="826"/>
      <c r="G6" s="97"/>
      <c r="H6" s="97"/>
      <c r="I6" s="98"/>
    </row>
    <row r="7" spans="1:9" x14ac:dyDescent="0.2">
      <c r="A7" s="816"/>
      <c r="B7" s="817"/>
      <c r="C7" s="817"/>
      <c r="D7" s="817"/>
      <c r="E7" s="817"/>
      <c r="F7" s="817"/>
      <c r="G7" s="817"/>
      <c r="H7" s="817"/>
      <c r="I7" s="818"/>
    </row>
    <row r="8" spans="1:9" ht="13.5" thickBot="1" x14ac:dyDescent="0.25">
      <c r="A8" s="307"/>
      <c r="B8" s="308" t="s">
        <v>287</v>
      </c>
      <c r="C8" s="309">
        <f>'Factor Mult. 2.10'!E34</f>
        <v>2.1</v>
      </c>
      <c r="D8" s="308"/>
      <c r="E8" s="308"/>
      <c r="F8" s="308"/>
      <c r="G8" s="308"/>
      <c r="H8" s="310"/>
      <c r="I8" s="311"/>
    </row>
    <row r="9" spans="1:9" s="114" customFormat="1" ht="12" x14ac:dyDescent="0.2">
      <c r="A9" s="110" t="s">
        <v>5</v>
      </c>
      <c r="B9" s="111" t="s">
        <v>8</v>
      </c>
      <c r="C9" s="112" t="s">
        <v>208</v>
      </c>
      <c r="D9" s="112" t="s">
        <v>0</v>
      </c>
      <c r="E9" s="112" t="s">
        <v>220</v>
      </c>
      <c r="F9" s="112" t="s">
        <v>221</v>
      </c>
      <c r="G9" s="112" t="s">
        <v>222</v>
      </c>
      <c r="H9" s="112" t="s">
        <v>223</v>
      </c>
      <c r="I9" s="113" t="s">
        <v>3</v>
      </c>
    </row>
    <row r="10" spans="1:9" x14ac:dyDescent="0.2">
      <c r="A10" s="95" t="s">
        <v>224</v>
      </c>
      <c r="B10" s="827" t="s">
        <v>225</v>
      </c>
      <c r="C10" s="827"/>
      <c r="D10" s="827"/>
      <c r="E10" s="827"/>
      <c r="F10" s="827"/>
      <c r="G10" s="827"/>
      <c r="H10" s="827"/>
      <c r="I10" s="828"/>
    </row>
    <row r="11" spans="1:9" x14ac:dyDescent="0.2">
      <c r="A11" s="95" t="s">
        <v>226</v>
      </c>
      <c r="B11" s="827" t="s">
        <v>227</v>
      </c>
      <c r="C11" s="827"/>
      <c r="D11" s="827"/>
      <c r="E11" s="827"/>
      <c r="F11" s="827"/>
      <c r="G11" s="827"/>
      <c r="H11" s="827"/>
      <c r="I11" s="828"/>
    </row>
    <row r="12" spans="1:9" ht="15.75" customHeight="1" x14ac:dyDescent="0.2">
      <c r="A12" s="100" t="s">
        <v>228</v>
      </c>
      <c r="B12" s="86" t="s">
        <v>229</v>
      </c>
      <c r="C12" s="87" t="s">
        <v>207</v>
      </c>
      <c r="D12" s="88">
        <v>1</v>
      </c>
      <c r="E12" s="89">
        <v>0.5</v>
      </c>
      <c r="F12" s="88">
        <v>2</v>
      </c>
      <c r="G12" s="102">
        <v>4000000</v>
      </c>
      <c r="H12" s="90">
        <f>$C$8</f>
        <v>2.1</v>
      </c>
      <c r="I12" s="117">
        <f>+IF(ISERROR(H12*G12*F12*E12*D12),"",H12*G12*F12*E12*D12)</f>
        <v>8400000</v>
      </c>
    </row>
    <row r="13" spans="1:9" ht="15.75" customHeight="1" x14ac:dyDescent="0.2">
      <c r="A13" s="100" t="s">
        <v>230</v>
      </c>
      <c r="B13" s="86" t="s">
        <v>357</v>
      </c>
      <c r="C13" s="87" t="s">
        <v>207</v>
      </c>
      <c r="D13" s="88">
        <v>1</v>
      </c>
      <c r="E13" s="89">
        <v>0.7</v>
      </c>
      <c r="F13" s="88">
        <v>2</v>
      </c>
      <c r="G13" s="102">
        <v>3000000</v>
      </c>
      <c r="H13" s="90">
        <f t="shared" ref="H13:H14" si="0">$C$8</f>
        <v>2.1</v>
      </c>
      <c r="I13" s="117">
        <f>+IF(ISERROR(H13*G13*F13*E13*D13),"",H13*G13*F13*E13*D13)</f>
        <v>8820000</v>
      </c>
    </row>
    <row r="14" spans="1:9" ht="15.75" customHeight="1" x14ac:dyDescent="0.2">
      <c r="A14" s="100" t="s">
        <v>231</v>
      </c>
      <c r="B14" s="86" t="s">
        <v>291</v>
      </c>
      <c r="C14" s="87" t="s">
        <v>207</v>
      </c>
      <c r="D14" s="88">
        <v>1</v>
      </c>
      <c r="E14" s="89">
        <v>0.5</v>
      </c>
      <c r="F14" s="88">
        <v>2</v>
      </c>
      <c r="G14" s="102">
        <v>1000000</v>
      </c>
      <c r="H14" s="90">
        <f t="shared" si="0"/>
        <v>2.1</v>
      </c>
      <c r="I14" s="117">
        <f>+IF(ISERROR(H14*G14*F14*E14*D14),"",H14*G14*F14*E14*D14)</f>
        <v>2100000</v>
      </c>
    </row>
    <row r="15" spans="1:9" x14ac:dyDescent="0.2">
      <c r="A15" s="829" t="s">
        <v>92</v>
      </c>
      <c r="B15" s="830"/>
      <c r="C15" s="830"/>
      <c r="D15" s="830"/>
      <c r="E15" s="830"/>
      <c r="F15" s="830"/>
      <c r="G15" s="830"/>
      <c r="H15" s="830"/>
      <c r="I15" s="103">
        <f>SUM(I12:I14)</f>
        <v>19320000</v>
      </c>
    </row>
    <row r="16" spans="1:9" x14ac:dyDescent="0.2">
      <c r="A16" s="829" t="s">
        <v>232</v>
      </c>
      <c r="B16" s="830"/>
      <c r="C16" s="830"/>
      <c r="D16" s="830"/>
      <c r="E16" s="830"/>
      <c r="F16" s="830"/>
      <c r="G16" s="830"/>
      <c r="H16" s="830"/>
      <c r="I16" s="103">
        <f>+I15</f>
        <v>19320000</v>
      </c>
    </row>
    <row r="17" spans="1:10" ht="13.5" thickBot="1" x14ac:dyDescent="0.25">
      <c r="A17" s="118"/>
      <c r="B17" s="119"/>
      <c r="C17" s="119"/>
      <c r="D17" s="119"/>
      <c r="E17" s="119"/>
      <c r="F17" s="119"/>
      <c r="G17" s="119"/>
      <c r="H17" s="119"/>
      <c r="I17" s="120"/>
    </row>
    <row r="18" spans="1:10" ht="25.5" x14ac:dyDescent="0.2">
      <c r="A18" s="99" t="s">
        <v>5</v>
      </c>
      <c r="B18" s="83" t="s">
        <v>8</v>
      </c>
      <c r="C18" s="84" t="s">
        <v>208</v>
      </c>
      <c r="D18" s="84" t="s">
        <v>0</v>
      </c>
      <c r="E18" s="831" t="s">
        <v>221</v>
      </c>
      <c r="F18" s="832"/>
      <c r="G18" s="831" t="s">
        <v>222</v>
      </c>
      <c r="H18" s="832"/>
      <c r="I18" s="85" t="s">
        <v>3</v>
      </c>
    </row>
    <row r="19" spans="1:10" x14ac:dyDescent="0.2">
      <c r="A19" s="95" t="s">
        <v>233</v>
      </c>
      <c r="B19" s="827" t="s">
        <v>234</v>
      </c>
      <c r="C19" s="827"/>
      <c r="D19" s="827"/>
      <c r="E19" s="827"/>
      <c r="F19" s="827"/>
      <c r="G19" s="827"/>
      <c r="H19" s="827"/>
      <c r="I19" s="828"/>
    </row>
    <row r="20" spans="1:10" ht="38.25" customHeight="1" x14ac:dyDescent="0.2">
      <c r="A20" s="96" t="s">
        <v>292</v>
      </c>
      <c r="B20" s="91" t="s">
        <v>209</v>
      </c>
      <c r="C20" s="413" t="s">
        <v>13</v>
      </c>
      <c r="D20" s="92">
        <v>1</v>
      </c>
      <c r="E20" s="835">
        <v>2</v>
      </c>
      <c r="F20" s="836"/>
      <c r="G20" s="837">
        <v>150000</v>
      </c>
      <c r="H20" s="838"/>
      <c r="I20" s="105">
        <f>+IF(ISERROR(G20*E20*D20),"",G20*E20*D20)</f>
        <v>300000</v>
      </c>
    </row>
    <row r="21" spans="1:10" x14ac:dyDescent="0.2">
      <c r="A21" s="829" t="s">
        <v>92</v>
      </c>
      <c r="B21" s="830"/>
      <c r="C21" s="830"/>
      <c r="D21" s="830"/>
      <c r="E21" s="830"/>
      <c r="F21" s="830"/>
      <c r="G21" s="830"/>
      <c r="H21" s="830"/>
      <c r="I21" s="106">
        <f>SUM(I20:I20)</f>
        <v>300000</v>
      </c>
    </row>
    <row r="22" spans="1:10" x14ac:dyDescent="0.2">
      <c r="A22" s="829" t="s">
        <v>235</v>
      </c>
      <c r="B22" s="830"/>
      <c r="C22" s="830"/>
      <c r="D22" s="830"/>
      <c r="E22" s="830"/>
      <c r="F22" s="830"/>
      <c r="G22" s="830"/>
      <c r="H22" s="830"/>
      <c r="I22" s="107">
        <f>I21</f>
        <v>300000</v>
      </c>
    </row>
    <row r="23" spans="1:10" x14ac:dyDescent="0.2">
      <c r="A23" s="839"/>
      <c r="B23" s="840"/>
      <c r="C23" s="840"/>
      <c r="D23" s="840"/>
      <c r="E23" s="840"/>
      <c r="F23" s="840"/>
      <c r="G23" s="840"/>
      <c r="H23" s="840"/>
      <c r="I23" s="841"/>
    </row>
    <row r="24" spans="1:10" x14ac:dyDescent="0.2">
      <c r="A24" s="829" t="s">
        <v>236</v>
      </c>
      <c r="B24" s="830"/>
      <c r="C24" s="830"/>
      <c r="D24" s="830"/>
      <c r="E24" s="830"/>
      <c r="F24" s="830"/>
      <c r="G24" s="830"/>
      <c r="H24" s="830"/>
      <c r="I24" s="107">
        <f>I16+I22</f>
        <v>19620000</v>
      </c>
    </row>
    <row r="25" spans="1:10" x14ac:dyDescent="0.2">
      <c r="A25" s="842"/>
      <c r="B25" s="843"/>
      <c r="C25" s="843"/>
      <c r="D25" s="843"/>
      <c r="E25" s="843"/>
      <c r="F25" s="843"/>
      <c r="G25" s="843"/>
      <c r="H25" s="843"/>
      <c r="I25" s="107"/>
    </row>
    <row r="26" spans="1:10" x14ac:dyDescent="0.2">
      <c r="A26" s="844" t="s">
        <v>237</v>
      </c>
      <c r="B26" s="845"/>
      <c r="C26" s="845"/>
      <c r="D26" s="845"/>
      <c r="E26" s="845"/>
      <c r="F26" s="845"/>
      <c r="G26" s="845"/>
      <c r="H26" s="93">
        <f>+[1]FM!E49/(1-[1]FM!E49)</f>
        <v>0.11856823266219241</v>
      </c>
      <c r="I26" s="108">
        <f>+I24*H26</f>
        <v>2326308.7248322149</v>
      </c>
    </row>
    <row r="27" spans="1:10" x14ac:dyDescent="0.2">
      <c r="A27" s="833" t="s">
        <v>238</v>
      </c>
      <c r="B27" s="834"/>
      <c r="C27" s="834"/>
      <c r="D27" s="834"/>
      <c r="E27" s="834"/>
      <c r="F27" s="834"/>
      <c r="G27" s="834"/>
      <c r="H27" s="834"/>
      <c r="I27" s="107">
        <f>+I24+I26</f>
        <v>21946308.724832214</v>
      </c>
      <c r="J27" s="101">
        <f>+IF(H28="UNIDAD",0,IF(H28="DECENA",-1,IF(H28="CENTENA",-2,0)))</f>
        <v>0</v>
      </c>
    </row>
    <row r="28" spans="1:10" x14ac:dyDescent="0.2">
      <c r="A28" s="848" t="s">
        <v>298</v>
      </c>
      <c r="B28" s="849"/>
      <c r="C28" s="849"/>
      <c r="D28" s="849"/>
      <c r="E28" s="849"/>
      <c r="F28" s="849"/>
      <c r="G28" s="850"/>
      <c r="H28" s="82"/>
      <c r="I28" s="107">
        <f>+ROUND(I27,J27)</f>
        <v>21946309</v>
      </c>
    </row>
    <row r="29" spans="1:10" x14ac:dyDescent="0.2">
      <c r="A29" s="833" t="s">
        <v>239</v>
      </c>
      <c r="B29" s="834"/>
      <c r="C29" s="834"/>
      <c r="D29" s="834"/>
      <c r="E29" s="834"/>
      <c r="F29" s="834"/>
      <c r="G29" s="834"/>
      <c r="H29" s="104">
        <v>0.16</v>
      </c>
      <c r="I29" s="107">
        <f>+H29*I28</f>
        <v>3511409.44</v>
      </c>
    </row>
    <row r="30" spans="1:10" ht="13.5" thickBot="1" x14ac:dyDescent="0.25">
      <c r="A30" s="851" t="s">
        <v>240</v>
      </c>
      <c r="B30" s="852"/>
      <c r="C30" s="852"/>
      <c r="D30" s="852"/>
      <c r="E30" s="852"/>
      <c r="F30" s="852"/>
      <c r="G30" s="852"/>
      <c r="H30" s="852"/>
      <c r="I30" s="109">
        <f>+I28+I29</f>
        <v>25457718.440000001</v>
      </c>
    </row>
    <row r="31" spans="1:10" x14ac:dyDescent="0.2">
      <c r="A31" s="853"/>
      <c r="B31" s="853"/>
      <c r="C31" s="853"/>
      <c r="D31" s="853"/>
      <c r="E31" s="853"/>
      <c r="F31" s="853"/>
      <c r="G31" s="853"/>
      <c r="H31" s="853"/>
      <c r="I31" s="853"/>
    </row>
    <row r="32" spans="1:10" ht="135" customHeight="1" x14ac:dyDescent="0.25">
      <c r="A32" s="1"/>
      <c r="B32" s="1"/>
      <c r="C32" s="1"/>
      <c r="D32" s="586" t="s">
        <v>420</v>
      </c>
      <c r="E32" s="1"/>
      <c r="F32" s="540"/>
      <c r="G32" s="412"/>
      <c r="H32" s="412"/>
      <c r="I32" s="412"/>
    </row>
    <row r="33" spans="1:9" ht="14.25" x14ac:dyDescent="0.2">
      <c r="A33" s="1"/>
      <c r="B33" s="1"/>
      <c r="C33" s="1"/>
      <c r="D33" s="347" t="s">
        <v>434</v>
      </c>
      <c r="E33" s="1"/>
      <c r="G33" s="128"/>
      <c r="H33" s="5"/>
      <c r="I33" s="1"/>
    </row>
    <row r="34" spans="1:9" s="1" customFormat="1" x14ac:dyDescent="0.25">
      <c r="D34" s="326"/>
      <c r="G34" s="129"/>
    </row>
    <row r="35" spans="1:9" s="1" customFormat="1" x14ac:dyDescent="0.25">
      <c r="A35" s="327"/>
      <c r="C35" s="2"/>
      <c r="D35" s="3"/>
      <c r="E35" s="3"/>
      <c r="F35" s="349"/>
    </row>
    <row r="36" spans="1:9" s="1" customFormat="1" x14ac:dyDescent="0.25">
      <c r="A36" s="328"/>
      <c r="D36" s="3"/>
      <c r="E36" s="3"/>
      <c r="G36" s="328"/>
      <c r="H36" s="3"/>
    </row>
    <row r="37" spans="1:9" s="1" customFormat="1" x14ac:dyDescent="0.25">
      <c r="A37" s="121"/>
      <c r="D37" s="2"/>
      <c r="E37" s="3"/>
      <c r="H37" s="2"/>
      <c r="I37" s="3"/>
    </row>
    <row r="38" spans="1:9" s="1" customFormat="1" x14ac:dyDescent="0.25">
      <c r="A38" s="121"/>
      <c r="D38" s="2"/>
      <c r="E38" s="3"/>
      <c r="H38" s="2"/>
      <c r="I38" s="3"/>
    </row>
    <row r="39" spans="1:9" x14ac:dyDescent="0.2">
      <c r="A39" s="853"/>
      <c r="B39" s="853"/>
      <c r="C39" s="853"/>
      <c r="D39" s="853"/>
      <c r="E39" s="853"/>
      <c r="F39" s="853"/>
      <c r="G39" s="853"/>
      <c r="H39" s="853"/>
      <c r="I39" s="853"/>
    </row>
    <row r="40" spans="1:9" x14ac:dyDescent="0.2">
      <c r="A40" s="853"/>
      <c r="B40" s="853"/>
      <c r="C40" s="853"/>
      <c r="D40" s="853"/>
      <c r="E40" s="853"/>
      <c r="F40" s="853"/>
      <c r="G40" s="853"/>
      <c r="H40" s="853"/>
      <c r="I40" s="853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846"/>
      <c r="B42" s="846"/>
      <c r="C42" s="846"/>
      <c r="D42" s="846"/>
      <c r="E42" s="846"/>
      <c r="F42" s="846"/>
      <c r="G42" s="846"/>
      <c r="H42" s="846"/>
      <c r="I42" s="846"/>
    </row>
    <row r="43" spans="1:9" x14ac:dyDescent="0.2">
      <c r="A43" s="847"/>
      <c r="B43" s="847"/>
      <c r="C43" s="847"/>
      <c r="D43" s="847"/>
      <c r="E43" s="847"/>
      <c r="F43" s="847"/>
      <c r="G43" s="847"/>
      <c r="H43" s="847"/>
      <c r="I43" s="847"/>
    </row>
    <row r="44" spans="1:9" x14ac:dyDescent="0.2">
      <c r="A44" s="414"/>
      <c r="B44" s="414"/>
      <c r="C44" s="414"/>
      <c r="D44" s="414"/>
      <c r="E44" s="414"/>
      <c r="F44" s="414"/>
      <c r="G44" s="414"/>
      <c r="H44" s="414"/>
      <c r="I44" s="414"/>
    </row>
  </sheetData>
  <mergeCells count="30">
    <mergeCell ref="A42:I42"/>
    <mergeCell ref="A43:I43"/>
    <mergeCell ref="A28:G28"/>
    <mergeCell ref="A29:G29"/>
    <mergeCell ref="A30:H30"/>
    <mergeCell ref="A31:I31"/>
    <mergeCell ref="A39:I39"/>
    <mergeCell ref="A40:I40"/>
    <mergeCell ref="A27:H27"/>
    <mergeCell ref="B19:I19"/>
    <mergeCell ref="E20:F20"/>
    <mergeCell ref="G20:H20"/>
    <mergeCell ref="A21:H21"/>
    <mergeCell ref="A22:H22"/>
    <mergeCell ref="A23:I23"/>
    <mergeCell ref="A24:H24"/>
    <mergeCell ref="A25:H25"/>
    <mergeCell ref="A26:G26"/>
    <mergeCell ref="B10:I10"/>
    <mergeCell ref="B11:I11"/>
    <mergeCell ref="A15:H15"/>
    <mergeCell ref="A16:H16"/>
    <mergeCell ref="E18:F18"/>
    <mergeCell ref="G18:H18"/>
    <mergeCell ref="A7:I7"/>
    <mergeCell ref="A2:I2"/>
    <mergeCell ref="B3:I3"/>
    <mergeCell ref="B4:F4"/>
    <mergeCell ref="A5:I5"/>
    <mergeCell ref="A6:F6"/>
  </mergeCells>
  <dataValidations count="1">
    <dataValidation type="list" allowBlank="1" showInputMessage="1" showErrorMessage="1" sqref="H28">
      <formula1>"UNIDAD,DECENA,CENTENA"</formula1>
    </dataValidation>
  </dataValidations>
  <printOptions horizontalCentered="1"/>
  <pageMargins left="0.74803149606299202" right="0.74803149606299202" top="0.98425196850393704" bottom="0.98425196850393704" header="0" footer="0"/>
  <pageSetup paperSize="5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topLeftCell="A34" zoomScale="70" zoomScaleNormal="70" workbookViewId="0">
      <selection activeCell="H50" sqref="H50"/>
    </sheetView>
  </sheetViews>
  <sheetFormatPr baseColWidth="10" defaultRowHeight="12.75" x14ac:dyDescent="0.2"/>
  <cols>
    <col min="1" max="1" width="53.85546875" style="370" bestFit="1" customWidth="1"/>
    <col min="2" max="2" width="11.42578125" style="370"/>
    <col min="3" max="3" width="8.7109375" style="370" bestFit="1" customWidth="1"/>
    <col min="4" max="4" width="21.7109375" style="370" customWidth="1"/>
    <col min="5" max="5" width="10.5703125" style="370" bestFit="1" customWidth="1"/>
    <col min="6" max="16384" width="11.42578125" style="370"/>
  </cols>
  <sheetData>
    <row r="1" spans="1:5" ht="13.5" thickBot="1" x14ac:dyDescent="0.25"/>
    <row r="2" spans="1:5" ht="16.5" thickBot="1" x14ac:dyDescent="0.3">
      <c r="A2" s="872" t="s">
        <v>412</v>
      </c>
      <c r="B2" s="873"/>
      <c r="C2" s="873"/>
      <c r="D2" s="873"/>
      <c r="E2" s="874"/>
    </row>
    <row r="3" spans="1:5" ht="13.5" thickBot="1" x14ac:dyDescent="0.25"/>
    <row r="4" spans="1:5" x14ac:dyDescent="0.2">
      <c r="A4" s="371" t="s">
        <v>241</v>
      </c>
      <c r="B4" s="372"/>
      <c r="C4" s="373" t="s">
        <v>242</v>
      </c>
      <c r="D4" s="373" t="s">
        <v>243</v>
      </c>
      <c r="E4" s="374" t="s">
        <v>244</v>
      </c>
    </row>
    <row r="5" spans="1:5" x14ac:dyDescent="0.2">
      <c r="A5" s="875" t="s">
        <v>245</v>
      </c>
      <c r="B5" s="876"/>
      <c r="C5" s="876"/>
      <c r="D5" s="876"/>
      <c r="E5" s="877"/>
    </row>
    <row r="6" spans="1:5" x14ac:dyDescent="0.2">
      <c r="A6" s="375" t="s">
        <v>246</v>
      </c>
      <c r="B6" s="376"/>
      <c r="C6" s="377" t="s">
        <v>247</v>
      </c>
      <c r="D6" s="378" t="s">
        <v>248</v>
      </c>
      <c r="E6" s="379">
        <v>100</v>
      </c>
    </row>
    <row r="7" spans="1:5" x14ac:dyDescent="0.2">
      <c r="A7" s="854"/>
      <c r="B7" s="855"/>
      <c r="C7" s="855"/>
      <c r="D7" s="855"/>
      <c r="E7" s="856"/>
    </row>
    <row r="8" spans="1:5" x14ac:dyDescent="0.2">
      <c r="A8" s="875" t="s">
        <v>249</v>
      </c>
      <c r="B8" s="876"/>
      <c r="C8" s="876"/>
      <c r="D8" s="876"/>
      <c r="E8" s="877"/>
    </row>
    <row r="9" spans="1:5" x14ac:dyDescent="0.2">
      <c r="A9" s="375" t="s">
        <v>250</v>
      </c>
      <c r="B9" s="376"/>
      <c r="C9" s="377" t="s">
        <v>251</v>
      </c>
      <c r="D9" s="378" t="s">
        <v>252</v>
      </c>
      <c r="E9" s="380">
        <f>ROUND(100/12,2)</f>
        <v>8.33</v>
      </c>
    </row>
    <row r="10" spans="1:5" x14ac:dyDescent="0.2">
      <c r="A10" s="375" t="s">
        <v>253</v>
      </c>
      <c r="B10" s="376"/>
      <c r="C10" s="377" t="s">
        <v>174</v>
      </c>
      <c r="D10" s="378" t="s">
        <v>254</v>
      </c>
      <c r="E10" s="380">
        <f>ROUND(100/12,2)</f>
        <v>8.33</v>
      </c>
    </row>
    <row r="11" spans="1:5" x14ac:dyDescent="0.2">
      <c r="A11" s="375" t="s">
        <v>255</v>
      </c>
      <c r="B11" s="376"/>
      <c r="C11" s="377" t="s">
        <v>256</v>
      </c>
      <c r="D11" s="378" t="s">
        <v>257</v>
      </c>
      <c r="E11" s="380">
        <v>1</v>
      </c>
    </row>
    <row r="12" spans="1:5" x14ac:dyDescent="0.2">
      <c r="A12" s="375" t="s">
        <v>337</v>
      </c>
      <c r="B12" s="376"/>
      <c r="C12" s="377" t="s">
        <v>338</v>
      </c>
      <c r="D12" s="378" t="s">
        <v>339</v>
      </c>
      <c r="E12" s="380">
        <v>4.17</v>
      </c>
    </row>
    <row r="13" spans="1:5" x14ac:dyDescent="0.2">
      <c r="A13" s="375" t="s">
        <v>340</v>
      </c>
      <c r="B13" s="376"/>
      <c r="C13" s="377" t="s">
        <v>262</v>
      </c>
      <c r="D13" s="378" t="s">
        <v>263</v>
      </c>
      <c r="E13" s="380">
        <v>4</v>
      </c>
    </row>
    <row r="14" spans="1:5" x14ac:dyDescent="0.2">
      <c r="A14" s="375" t="s">
        <v>341</v>
      </c>
      <c r="B14" s="376"/>
      <c r="C14" s="377" t="s">
        <v>260</v>
      </c>
      <c r="D14" s="378" t="s">
        <v>261</v>
      </c>
      <c r="E14" s="380">
        <v>12</v>
      </c>
    </row>
    <row r="15" spans="1:5" x14ac:dyDescent="0.2">
      <c r="A15" s="375" t="s">
        <v>342</v>
      </c>
      <c r="B15" s="376"/>
      <c r="C15" s="377" t="s">
        <v>258</v>
      </c>
      <c r="D15" s="378" t="s">
        <v>259</v>
      </c>
      <c r="E15" s="380">
        <v>2.4359999999999999</v>
      </c>
    </row>
    <row r="16" spans="1:5" x14ac:dyDescent="0.2">
      <c r="A16" s="375" t="s">
        <v>343</v>
      </c>
      <c r="B16" s="376"/>
      <c r="C16" s="377" t="s">
        <v>264</v>
      </c>
      <c r="D16" s="378" t="s">
        <v>265</v>
      </c>
      <c r="E16" s="380">
        <v>0</v>
      </c>
    </row>
    <row r="17" spans="1:5" x14ac:dyDescent="0.2">
      <c r="A17" s="375" t="s">
        <v>344</v>
      </c>
      <c r="B17" s="376"/>
      <c r="C17" s="377" t="s">
        <v>266</v>
      </c>
      <c r="D17" s="378" t="s">
        <v>267</v>
      </c>
      <c r="E17" s="380">
        <v>0</v>
      </c>
    </row>
    <row r="18" spans="1:5" x14ac:dyDescent="0.2">
      <c r="A18" s="375" t="s">
        <v>345</v>
      </c>
      <c r="B18" s="376"/>
      <c r="C18" s="377" t="s">
        <v>346</v>
      </c>
      <c r="D18" s="378"/>
      <c r="E18" s="380">
        <v>0</v>
      </c>
    </row>
    <row r="19" spans="1:5" x14ac:dyDescent="0.2">
      <c r="A19" s="375" t="s">
        <v>347</v>
      </c>
      <c r="B19" s="376"/>
      <c r="C19" s="377" t="s">
        <v>175</v>
      </c>
      <c r="D19" s="378"/>
      <c r="E19" s="380">
        <v>1</v>
      </c>
    </row>
    <row r="20" spans="1:5" x14ac:dyDescent="0.2">
      <c r="A20" s="375"/>
      <c r="B20" s="376"/>
      <c r="C20" s="377"/>
      <c r="D20" s="378"/>
      <c r="E20" s="381"/>
    </row>
    <row r="21" spans="1:5" x14ac:dyDescent="0.2">
      <c r="A21" s="382" t="s">
        <v>268</v>
      </c>
      <c r="B21" s="383"/>
      <c r="C21" s="384" t="s">
        <v>269</v>
      </c>
      <c r="D21" s="385"/>
      <c r="E21" s="386">
        <f>SUM(E9:E19)</f>
        <v>41.265999999999998</v>
      </c>
    </row>
    <row r="22" spans="1:5" x14ac:dyDescent="0.2">
      <c r="A22" s="854"/>
      <c r="B22" s="855"/>
      <c r="C22" s="855"/>
      <c r="D22" s="855"/>
      <c r="E22" s="856"/>
    </row>
    <row r="23" spans="1:5" x14ac:dyDescent="0.2">
      <c r="A23" s="387" t="s">
        <v>270</v>
      </c>
      <c r="B23" s="388" t="s">
        <v>271</v>
      </c>
      <c r="C23" s="389"/>
      <c r="D23" s="388"/>
      <c r="E23" s="390"/>
    </row>
    <row r="24" spans="1:5" x14ac:dyDescent="0.2">
      <c r="A24" s="375" t="s">
        <v>272</v>
      </c>
      <c r="B24" s="391" t="s">
        <v>2</v>
      </c>
      <c r="C24" s="377">
        <v>2</v>
      </c>
      <c r="D24" s="392" t="s">
        <v>273</v>
      </c>
      <c r="E24" s="393">
        <f>+(([2]GASTO!E2*C24)/[2]INTERVENTORIA!$L$8)*100</f>
        <v>62.196501183546495</v>
      </c>
    </row>
    <row r="25" spans="1:5" x14ac:dyDescent="0.2">
      <c r="A25" s="375" t="s">
        <v>274</v>
      </c>
      <c r="B25" s="391" t="s">
        <v>275</v>
      </c>
      <c r="C25" s="377">
        <v>1</v>
      </c>
      <c r="D25" s="392" t="s">
        <v>276</v>
      </c>
      <c r="E25" s="393">
        <v>0.25</v>
      </c>
    </row>
    <row r="26" spans="1:5" x14ac:dyDescent="0.2">
      <c r="A26" s="375" t="s">
        <v>277</v>
      </c>
      <c r="B26" s="391" t="s">
        <v>275</v>
      </c>
      <c r="C26" s="378"/>
      <c r="D26" s="392" t="s">
        <v>278</v>
      </c>
      <c r="E26" s="393">
        <v>1</v>
      </c>
    </row>
    <row r="27" spans="1:5" x14ac:dyDescent="0.2">
      <c r="A27" s="375"/>
      <c r="B27" s="376"/>
      <c r="C27" s="394"/>
      <c r="D27" s="378"/>
      <c r="E27" s="393"/>
    </row>
    <row r="28" spans="1:5" x14ac:dyDescent="0.2">
      <c r="A28" s="382" t="s">
        <v>279</v>
      </c>
      <c r="B28" s="383"/>
      <c r="C28" s="384" t="s">
        <v>280</v>
      </c>
      <c r="D28" s="385"/>
      <c r="E28" s="386">
        <f>SUM(E24:E26)</f>
        <v>63.446501183546495</v>
      </c>
    </row>
    <row r="29" spans="1:5" x14ac:dyDescent="0.2">
      <c r="A29" s="375"/>
      <c r="B29" s="376"/>
      <c r="C29" s="377"/>
      <c r="D29" s="378"/>
      <c r="E29" s="393"/>
    </row>
    <row r="30" spans="1:5" x14ac:dyDescent="0.2">
      <c r="A30" s="382" t="s">
        <v>281</v>
      </c>
      <c r="B30" s="383"/>
      <c r="C30" s="384" t="s">
        <v>282</v>
      </c>
      <c r="D30" s="385" t="s">
        <v>283</v>
      </c>
      <c r="E30" s="395">
        <f>E21+E28</f>
        <v>104.71250118354649</v>
      </c>
    </row>
    <row r="31" spans="1:5" x14ac:dyDescent="0.2">
      <c r="A31" s="878"/>
      <c r="B31" s="879"/>
      <c r="C31" s="879"/>
      <c r="D31" s="879"/>
      <c r="E31" s="880"/>
    </row>
    <row r="32" spans="1:5" x14ac:dyDescent="0.2">
      <c r="A32" s="382" t="s">
        <v>284</v>
      </c>
      <c r="B32" s="383"/>
      <c r="C32" s="384" t="s">
        <v>285</v>
      </c>
      <c r="D32" s="385" t="s">
        <v>286</v>
      </c>
      <c r="E32" s="386">
        <v>5</v>
      </c>
    </row>
    <row r="33" spans="1:10" x14ac:dyDescent="0.2">
      <c r="A33" s="854"/>
      <c r="B33" s="855"/>
      <c r="C33" s="855"/>
      <c r="D33" s="855"/>
      <c r="E33" s="856"/>
    </row>
    <row r="34" spans="1:10" ht="13.5" thickBot="1" x14ac:dyDescent="0.25">
      <c r="A34" s="396" t="s">
        <v>287</v>
      </c>
      <c r="B34" s="397"/>
      <c r="C34" s="398" t="s">
        <v>288</v>
      </c>
      <c r="D34" s="399" t="s">
        <v>289</v>
      </c>
      <c r="E34" s="400">
        <f>ROUND((100+E30+E32)/100,2)</f>
        <v>2.1</v>
      </c>
    </row>
    <row r="35" spans="1:10" x14ac:dyDescent="0.2">
      <c r="A35" s="857" t="s">
        <v>290</v>
      </c>
      <c r="B35" s="858"/>
      <c r="C35" s="858"/>
      <c r="D35" s="858"/>
      <c r="E35" s="859"/>
    </row>
    <row r="36" spans="1:10" x14ac:dyDescent="0.2">
      <c r="A36" s="860"/>
      <c r="B36" s="861"/>
      <c r="C36" s="861"/>
      <c r="D36" s="861"/>
      <c r="E36" s="862"/>
    </row>
    <row r="37" spans="1:10" ht="30.75" customHeight="1" thickBot="1" x14ac:dyDescent="0.25">
      <c r="A37" s="863"/>
      <c r="B37" s="864"/>
      <c r="C37" s="864"/>
      <c r="D37" s="864"/>
      <c r="E37" s="865"/>
    </row>
    <row r="39" spans="1:10" ht="11.25" customHeight="1" x14ac:dyDescent="0.2"/>
    <row r="40" spans="1:10" x14ac:dyDescent="0.2">
      <c r="A40" s="866" t="s">
        <v>210</v>
      </c>
      <c r="B40" s="867"/>
      <c r="C40" s="867"/>
      <c r="D40" s="868"/>
      <c r="E40" s="401" t="s">
        <v>181</v>
      </c>
      <c r="G40" s="402"/>
      <c r="H40" s="402"/>
      <c r="I40" s="402"/>
      <c r="J40" s="403"/>
    </row>
    <row r="41" spans="1:10" x14ac:dyDescent="0.2">
      <c r="A41" s="404" t="s">
        <v>211</v>
      </c>
      <c r="B41" s="405"/>
      <c r="C41" s="405"/>
      <c r="D41" s="405"/>
      <c r="E41" s="406">
        <v>0.02</v>
      </c>
      <c r="G41" s="402"/>
      <c r="H41" s="402"/>
      <c r="I41" s="402"/>
      <c r="J41" s="407"/>
    </row>
    <row r="42" spans="1:10" x14ac:dyDescent="0.2">
      <c r="A42" s="404" t="s">
        <v>212</v>
      </c>
      <c r="B42" s="405"/>
      <c r="C42" s="405"/>
      <c r="D42" s="405"/>
      <c r="E42" s="406">
        <v>0.02</v>
      </c>
      <c r="G42" s="402"/>
      <c r="H42" s="402"/>
      <c r="I42" s="402"/>
      <c r="J42" s="407"/>
    </row>
    <row r="43" spans="1:10" x14ac:dyDescent="0.2">
      <c r="A43" s="404" t="s">
        <v>213</v>
      </c>
      <c r="B43" s="405"/>
      <c r="C43" s="405"/>
      <c r="D43" s="405"/>
      <c r="E43" s="406">
        <v>1.4999999999999999E-2</v>
      </c>
      <c r="G43" s="402"/>
      <c r="H43" s="402"/>
      <c r="I43" s="402"/>
      <c r="J43" s="407"/>
    </row>
    <row r="44" spans="1:10" x14ac:dyDescent="0.2">
      <c r="A44" s="404" t="s">
        <v>214</v>
      </c>
      <c r="B44" s="405"/>
      <c r="C44" s="405"/>
      <c r="D44" s="405"/>
      <c r="E44" s="406">
        <v>5.0000000000000001E-3</v>
      </c>
      <c r="G44" s="402"/>
      <c r="H44" s="402"/>
      <c r="I44" s="402"/>
      <c r="J44" s="407"/>
    </row>
    <row r="45" spans="1:10" x14ac:dyDescent="0.2">
      <c r="A45" s="404" t="s">
        <v>215</v>
      </c>
      <c r="B45" s="405"/>
      <c r="C45" s="405"/>
      <c r="D45" s="405"/>
      <c r="E45" s="406">
        <v>0.02</v>
      </c>
      <c r="G45" s="402"/>
      <c r="H45" s="402"/>
      <c r="I45" s="402"/>
      <c r="J45" s="407"/>
    </row>
    <row r="46" spans="1:10" x14ac:dyDescent="0.2">
      <c r="A46" s="404" t="s">
        <v>216</v>
      </c>
      <c r="B46" s="405"/>
      <c r="C46" s="405"/>
      <c r="D46" s="405"/>
      <c r="E46" s="406">
        <v>0.02</v>
      </c>
      <c r="G46" s="402"/>
      <c r="H46" s="402"/>
      <c r="I46" s="402"/>
      <c r="J46" s="407"/>
    </row>
    <row r="47" spans="1:10" x14ac:dyDescent="0.2">
      <c r="A47" s="404" t="s">
        <v>217</v>
      </c>
      <c r="B47" s="405"/>
      <c r="C47" s="405"/>
      <c r="D47" s="405"/>
      <c r="E47" s="406">
        <v>6.0000000000000001E-3</v>
      </c>
      <c r="G47" s="402"/>
      <c r="H47" s="402"/>
      <c r="I47" s="402"/>
      <c r="J47" s="407"/>
    </row>
    <row r="48" spans="1:10" x14ac:dyDescent="0.2">
      <c r="A48" s="404" t="s">
        <v>218</v>
      </c>
      <c r="B48" s="405"/>
      <c r="C48" s="405"/>
      <c r="D48" s="405"/>
      <c r="E48" s="406">
        <v>0.05</v>
      </c>
      <c r="G48" s="402"/>
      <c r="H48" s="402"/>
      <c r="I48" s="402"/>
      <c r="J48" s="407"/>
    </row>
    <row r="49" spans="1:10" x14ac:dyDescent="0.2">
      <c r="A49" s="869" t="s">
        <v>219</v>
      </c>
      <c r="B49" s="870"/>
      <c r="C49" s="870"/>
      <c r="D49" s="871"/>
      <c r="E49" s="408">
        <f>SUM(E41:E48)</f>
        <v>0.15600000000000003</v>
      </c>
      <c r="G49" s="402"/>
      <c r="H49" s="402"/>
      <c r="I49" s="402"/>
      <c r="J49" s="407"/>
    </row>
    <row r="50" spans="1:10" x14ac:dyDescent="0.2">
      <c r="G50" s="402"/>
      <c r="H50" s="402"/>
      <c r="I50" s="402"/>
      <c r="J50" s="409"/>
    </row>
    <row r="51" spans="1:10" x14ac:dyDescent="0.2">
      <c r="B51" s="410"/>
      <c r="E51" s="411"/>
    </row>
  </sheetData>
  <mergeCells count="10">
    <mergeCell ref="A33:E33"/>
    <mergeCell ref="A35:E37"/>
    <mergeCell ref="A40:D40"/>
    <mergeCell ref="A49:D49"/>
    <mergeCell ref="A2:E2"/>
    <mergeCell ref="A5:E5"/>
    <mergeCell ref="A7:E7"/>
    <mergeCell ref="A8:E8"/>
    <mergeCell ref="A22:E22"/>
    <mergeCell ref="A31:E3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I47"/>
  <sheetViews>
    <sheetView zoomScale="110" zoomScaleNormal="110" workbookViewId="0">
      <pane ySplit="2" topLeftCell="A3" activePane="bottomLeft" state="frozen"/>
      <selection activeCell="B1" sqref="B1"/>
      <selection pane="bottomLeft" activeCell="A9" sqref="A1:A1048576"/>
    </sheetView>
  </sheetViews>
  <sheetFormatPr baseColWidth="10" defaultColWidth="11" defaultRowHeight="12.75" x14ac:dyDescent="0.25"/>
  <cols>
    <col min="1" max="1" width="4.42578125" style="538" customWidth="1"/>
    <col min="2" max="2" width="44.85546875" style="1" customWidth="1"/>
    <col min="3" max="3" width="10" style="1" customWidth="1"/>
    <col min="4" max="4" width="7" style="1" customWidth="1"/>
    <col min="5" max="5" width="8.7109375" style="2" customWidth="1"/>
    <col min="6" max="6" width="10.85546875" style="3" customWidth="1"/>
    <col min="7" max="7" width="13" style="1" customWidth="1"/>
    <col min="8" max="8" width="14.28515625" style="1" customWidth="1"/>
    <col min="9" max="16384" width="11" style="1"/>
  </cols>
  <sheetData>
    <row r="1" spans="1:9" ht="19.5" x14ac:dyDescent="0.25">
      <c r="A1" s="616" t="s">
        <v>348</v>
      </c>
      <c r="B1" s="616"/>
      <c r="C1" s="616"/>
      <c r="D1" s="616"/>
      <c r="E1" s="616"/>
      <c r="F1" s="616"/>
      <c r="G1" s="616"/>
    </row>
    <row r="2" spans="1:9" ht="18" customHeight="1" x14ac:dyDescent="0.25">
      <c r="A2" s="617" t="s">
        <v>450</v>
      </c>
      <c r="B2" s="617"/>
      <c r="C2" s="617"/>
      <c r="D2" s="617"/>
      <c r="E2" s="617"/>
      <c r="F2" s="617"/>
      <c r="G2" s="617"/>
    </row>
    <row r="3" spans="1:9" ht="16.5" customHeight="1" x14ac:dyDescent="0.25">
      <c r="A3" s="618" t="s">
        <v>323</v>
      </c>
      <c r="B3" s="618"/>
      <c r="C3" s="618"/>
      <c r="D3" s="618"/>
      <c r="E3" s="618"/>
      <c r="F3" s="618"/>
      <c r="G3" s="618"/>
    </row>
    <row r="4" spans="1:9" s="7" customFormat="1" ht="16.5" customHeight="1" x14ac:dyDescent="0.25">
      <c r="A4" s="618" t="s">
        <v>324</v>
      </c>
      <c r="B4" s="618"/>
      <c r="C4" s="618"/>
      <c r="D4" s="618"/>
      <c r="E4" s="618"/>
      <c r="F4" s="618"/>
      <c r="G4" s="618"/>
    </row>
    <row r="5" spans="1:9" s="7" customFormat="1" ht="16.5" customHeight="1" x14ac:dyDescent="0.25">
      <c r="A5" s="618" t="s">
        <v>325</v>
      </c>
      <c r="B5" s="618"/>
      <c r="C5" s="618"/>
      <c r="D5" s="618"/>
      <c r="E5" s="618"/>
      <c r="F5" s="618"/>
      <c r="G5" s="618"/>
    </row>
    <row r="6" spans="1:9" s="8" customFormat="1" ht="15" customHeight="1" x14ac:dyDescent="0.25">
      <c r="A6" s="611" t="s">
        <v>349</v>
      </c>
      <c r="B6" s="611"/>
      <c r="C6" s="611"/>
      <c r="D6" s="611"/>
      <c r="E6" s="611"/>
      <c r="F6" s="611"/>
      <c r="G6" s="611"/>
    </row>
    <row r="7" spans="1:9" s="80" customFormat="1" ht="13.5" customHeight="1" x14ac:dyDescent="0.25">
      <c r="A7" s="612" t="s">
        <v>350</v>
      </c>
      <c r="B7" s="612"/>
      <c r="C7" s="612"/>
      <c r="D7" s="612"/>
      <c r="E7" s="612"/>
      <c r="F7" s="612"/>
      <c r="G7" s="612"/>
      <c r="H7" s="331"/>
      <c r="I7" s="8"/>
    </row>
    <row r="8" spans="1:9" s="8" customFormat="1" ht="15" x14ac:dyDescent="0.25">
      <c r="A8" s="613" t="s">
        <v>442</v>
      </c>
      <c r="B8" s="613"/>
      <c r="C8" s="613"/>
      <c r="D8" s="613"/>
      <c r="E8" s="613"/>
      <c r="F8" s="613"/>
      <c r="G8" s="613"/>
    </row>
    <row r="9" spans="1:9" ht="22.5" x14ac:dyDescent="0.25">
      <c r="A9" s="589" t="s">
        <v>5</v>
      </c>
      <c r="B9" s="589" t="s">
        <v>9</v>
      </c>
      <c r="C9" s="353" t="s">
        <v>7</v>
      </c>
      <c r="D9" s="589" t="s">
        <v>221</v>
      </c>
      <c r="E9" s="354" t="s">
        <v>0</v>
      </c>
      <c r="F9" s="355" t="s">
        <v>1</v>
      </c>
      <c r="G9" s="356" t="s">
        <v>321</v>
      </c>
      <c r="H9" s="7"/>
      <c r="I9" s="7"/>
    </row>
    <row r="10" spans="1:9" s="7" customFormat="1" ht="47.25" customHeight="1" x14ac:dyDescent="0.25">
      <c r="A10" s="591">
        <v>1</v>
      </c>
      <c r="B10" s="306" t="s">
        <v>438</v>
      </c>
      <c r="C10" s="41" t="s">
        <v>207</v>
      </c>
      <c r="D10" s="41">
        <v>11</v>
      </c>
      <c r="E10" s="348">
        <v>1</v>
      </c>
      <c r="F10" s="415">
        <v>5000000</v>
      </c>
      <c r="G10" s="415">
        <f>D10*E10*F10</f>
        <v>55000000</v>
      </c>
      <c r="H10" s="541"/>
    </row>
    <row r="11" spans="1:9" s="8" customFormat="1" ht="15" x14ac:dyDescent="0.25">
      <c r="A11" s="613" t="s">
        <v>443</v>
      </c>
      <c r="B11" s="613"/>
      <c r="C11" s="613"/>
      <c r="D11" s="613"/>
      <c r="E11" s="613"/>
      <c r="F11" s="613"/>
      <c r="G11" s="613"/>
    </row>
    <row r="12" spans="1:9" ht="22.5" x14ac:dyDescent="0.25">
      <c r="A12" s="589" t="s">
        <v>5</v>
      </c>
      <c r="B12" s="589" t="s">
        <v>9</v>
      </c>
      <c r="C12" s="353" t="s">
        <v>7</v>
      </c>
      <c r="D12" s="589" t="s">
        <v>221</v>
      </c>
      <c r="E12" s="354" t="s">
        <v>0</v>
      </c>
      <c r="F12" s="355" t="s">
        <v>1</v>
      </c>
      <c r="G12" s="356" t="s">
        <v>321</v>
      </c>
      <c r="H12" s="7"/>
      <c r="I12" s="7"/>
    </row>
    <row r="13" spans="1:9" s="7" customFormat="1" ht="37.5" customHeight="1" x14ac:dyDescent="0.25">
      <c r="A13" s="596">
        <v>2</v>
      </c>
      <c r="B13" s="306" t="s">
        <v>439</v>
      </c>
      <c r="C13" s="571" t="s">
        <v>207</v>
      </c>
      <c r="D13" s="41">
        <v>11</v>
      </c>
      <c r="E13" s="572">
        <v>4</v>
      </c>
      <c r="F13" s="573">
        <v>2700000</v>
      </c>
      <c r="G13" s="415">
        <f>D13*E13*F13</f>
        <v>118800000</v>
      </c>
      <c r="H13" s="541"/>
    </row>
    <row r="14" spans="1:9" s="8" customFormat="1" ht="15" x14ac:dyDescent="0.25">
      <c r="A14" s="613" t="s">
        <v>444</v>
      </c>
      <c r="B14" s="613"/>
      <c r="C14" s="613"/>
      <c r="D14" s="613"/>
      <c r="E14" s="613"/>
      <c r="F14" s="613"/>
      <c r="G14" s="613"/>
      <c r="H14" s="597"/>
    </row>
    <row r="15" spans="1:9" ht="22.5" x14ac:dyDescent="0.25">
      <c r="A15" s="589" t="s">
        <v>5</v>
      </c>
      <c r="B15" s="589" t="s">
        <v>9</v>
      </c>
      <c r="C15" s="353" t="s">
        <v>7</v>
      </c>
      <c r="D15" s="589" t="s">
        <v>221</v>
      </c>
      <c r="E15" s="354" t="s">
        <v>0</v>
      </c>
      <c r="F15" s="355" t="s">
        <v>1</v>
      </c>
      <c r="G15" s="356" t="s">
        <v>321</v>
      </c>
      <c r="H15" s="7"/>
      <c r="I15" s="7"/>
    </row>
    <row r="16" spans="1:9" s="7" customFormat="1" ht="24" customHeight="1" x14ac:dyDescent="0.25">
      <c r="A16" s="591">
        <v>3</v>
      </c>
      <c r="B16" s="306" t="s">
        <v>437</v>
      </c>
      <c r="C16" s="41" t="s">
        <v>13</v>
      </c>
      <c r="D16" s="41">
        <v>1</v>
      </c>
      <c r="E16" s="348">
        <v>1</v>
      </c>
      <c r="F16" s="415">
        <v>20009012.84</v>
      </c>
      <c r="G16" s="415">
        <f>F16</f>
        <v>20009012.84</v>
      </c>
      <c r="H16" s="541"/>
    </row>
    <row r="17" spans="1:9" s="352" customFormat="1" x14ac:dyDescent="0.25">
      <c r="A17" s="614" t="s">
        <v>10</v>
      </c>
      <c r="B17" s="614"/>
      <c r="C17" s="615" t="s">
        <v>10</v>
      </c>
      <c r="D17" s="615"/>
      <c r="E17" s="615"/>
      <c r="F17" s="615"/>
      <c r="G17" s="350">
        <f>ROUND(SUM(G10:G16),0)</f>
        <v>193809013</v>
      </c>
      <c r="H17" s="351"/>
      <c r="I17" s="351"/>
    </row>
    <row r="18" spans="1:9" s="8" customFormat="1" ht="15" customHeight="1" x14ac:dyDescent="0.25">
      <c r="A18" s="611" t="s">
        <v>351</v>
      </c>
      <c r="B18" s="611"/>
      <c r="C18" s="611"/>
      <c r="D18" s="611"/>
      <c r="E18" s="611"/>
      <c r="F18" s="611"/>
      <c r="G18" s="611"/>
    </row>
    <row r="19" spans="1:9" s="80" customFormat="1" ht="13.5" customHeight="1" x14ac:dyDescent="0.25">
      <c r="A19" s="612" t="s">
        <v>352</v>
      </c>
      <c r="B19" s="612"/>
      <c r="C19" s="612"/>
      <c r="D19" s="612"/>
      <c r="E19" s="612"/>
      <c r="F19" s="612"/>
      <c r="G19" s="612"/>
      <c r="H19" s="331"/>
      <c r="I19" s="8"/>
    </row>
    <row r="20" spans="1:9" s="8" customFormat="1" ht="15" x14ac:dyDescent="0.25">
      <c r="A20" s="613" t="s">
        <v>444</v>
      </c>
      <c r="B20" s="613"/>
      <c r="C20" s="613"/>
      <c r="D20" s="613"/>
      <c r="E20" s="613"/>
      <c r="F20" s="613"/>
      <c r="G20" s="613"/>
      <c r="H20" s="597"/>
    </row>
    <row r="21" spans="1:9" ht="25.5" customHeight="1" x14ac:dyDescent="0.25">
      <c r="A21" s="589" t="s">
        <v>5</v>
      </c>
      <c r="B21" s="589" t="s">
        <v>9</v>
      </c>
      <c r="C21" s="353" t="s">
        <v>7</v>
      </c>
      <c r="D21" s="589" t="s">
        <v>221</v>
      </c>
      <c r="E21" s="354" t="s">
        <v>0</v>
      </c>
      <c r="F21" s="355" t="s">
        <v>1</v>
      </c>
      <c r="G21" s="356" t="s">
        <v>321</v>
      </c>
      <c r="H21" s="7"/>
      <c r="I21" s="7"/>
    </row>
    <row r="22" spans="1:9" s="7" customFormat="1" ht="33.75" x14ac:dyDescent="0.25">
      <c r="A22" s="593">
        <v>6</v>
      </c>
      <c r="B22" s="570" t="s">
        <v>326</v>
      </c>
      <c r="C22" s="571" t="s">
        <v>13</v>
      </c>
      <c r="D22" s="571">
        <v>1</v>
      </c>
      <c r="E22" s="572">
        <v>1</v>
      </c>
      <c r="F22" s="574">
        <f>'Cotizaciones Materiales'!P24</f>
        <v>129939080.86666664</v>
      </c>
      <c r="G22" s="574">
        <f>E22*F22</f>
        <v>129939080.86666664</v>
      </c>
      <c r="H22" s="541"/>
    </row>
    <row r="23" spans="1:9" s="352" customFormat="1" x14ac:dyDescent="0.25">
      <c r="A23" s="614" t="s">
        <v>10</v>
      </c>
      <c r="B23" s="614"/>
      <c r="C23" s="615" t="s">
        <v>10</v>
      </c>
      <c r="D23" s="615"/>
      <c r="E23" s="615"/>
      <c r="F23" s="615"/>
      <c r="G23" s="350">
        <f>ROUND(SUM(G22:G22),0)</f>
        <v>129939081</v>
      </c>
      <c r="H23" s="351"/>
    </row>
    <row r="24" spans="1:9" s="8" customFormat="1" ht="15.75" customHeight="1" x14ac:dyDescent="0.25">
      <c r="A24" s="624" t="s">
        <v>353</v>
      </c>
      <c r="B24" s="625"/>
      <c r="C24" s="625"/>
      <c r="D24" s="626"/>
      <c r="E24" s="625"/>
      <c r="F24" s="625"/>
      <c r="G24" s="625"/>
      <c r="H24" s="312"/>
    </row>
    <row r="25" spans="1:9" s="80" customFormat="1" ht="24.75" customHeight="1" x14ac:dyDescent="0.25">
      <c r="A25" s="627" t="s">
        <v>429</v>
      </c>
      <c r="B25" s="628"/>
      <c r="C25" s="628"/>
      <c r="D25" s="629"/>
      <c r="E25" s="628"/>
      <c r="F25" s="628"/>
      <c r="G25" s="628"/>
      <c r="H25" s="8"/>
      <c r="I25" s="8"/>
    </row>
    <row r="26" spans="1:9" s="8" customFormat="1" ht="15" x14ac:dyDescent="0.25">
      <c r="A26" s="613" t="s">
        <v>444</v>
      </c>
      <c r="B26" s="613"/>
      <c r="C26" s="613"/>
      <c r="D26" s="613"/>
      <c r="E26" s="613"/>
      <c r="F26" s="613"/>
      <c r="G26" s="613"/>
      <c r="H26" s="597"/>
    </row>
    <row r="27" spans="1:9" ht="24" customHeight="1" x14ac:dyDescent="0.25">
      <c r="A27" s="589" t="s">
        <v>5</v>
      </c>
      <c r="B27" s="589" t="s">
        <v>9</v>
      </c>
      <c r="C27" s="353" t="s">
        <v>7</v>
      </c>
      <c r="D27" s="589" t="s">
        <v>221</v>
      </c>
      <c r="E27" s="354" t="s">
        <v>0</v>
      </c>
      <c r="F27" s="355" t="s">
        <v>1</v>
      </c>
      <c r="G27" s="356" t="s">
        <v>321</v>
      </c>
    </row>
    <row r="28" spans="1:9" s="6" customFormat="1" ht="26.25" customHeight="1" x14ac:dyDescent="0.25">
      <c r="A28" s="594">
        <v>7</v>
      </c>
      <c r="B28" s="306" t="s">
        <v>329</v>
      </c>
      <c r="C28" s="37" t="s">
        <v>13</v>
      </c>
      <c r="D28" s="37">
        <v>2</v>
      </c>
      <c r="E28" s="75">
        <v>1</v>
      </c>
      <c r="F28" s="416">
        <f>'Cotizaciones Señalización'!L9</f>
        <v>250518541.5</v>
      </c>
      <c r="G28" s="416">
        <f>E28*F28</f>
        <v>250518541.5</v>
      </c>
    </row>
    <row r="29" spans="1:9" s="363" customFormat="1" ht="28.5" customHeight="1" x14ac:dyDescent="0.25">
      <c r="A29" s="595">
        <v>8</v>
      </c>
      <c r="B29" s="306" t="s">
        <v>330</v>
      </c>
      <c r="C29" s="364" t="s">
        <v>13</v>
      </c>
      <c r="D29" s="364">
        <v>2</v>
      </c>
      <c r="E29" s="75">
        <v>1</v>
      </c>
      <c r="F29" s="416">
        <f>'Interventoría Señalización Vert'!I30</f>
        <v>25457718.440000001</v>
      </c>
      <c r="G29" s="416">
        <f>E29*F29</f>
        <v>25457718.440000001</v>
      </c>
    </row>
    <row r="30" spans="1:9" s="352" customFormat="1" x14ac:dyDescent="0.25">
      <c r="A30" s="614" t="s">
        <v>10</v>
      </c>
      <c r="B30" s="614"/>
      <c r="C30" s="615" t="s">
        <v>10</v>
      </c>
      <c r="D30" s="615"/>
      <c r="E30" s="615"/>
      <c r="F30" s="615"/>
      <c r="G30" s="350">
        <f>ROUND(SUM(G28:G29),0)</f>
        <v>275976260</v>
      </c>
      <c r="H30" s="351"/>
    </row>
    <row r="31" spans="1:9" s="8" customFormat="1" ht="15.75" customHeight="1" x14ac:dyDescent="0.25">
      <c r="A31" s="624" t="s">
        <v>415</v>
      </c>
      <c r="B31" s="625"/>
      <c r="C31" s="625"/>
      <c r="D31" s="626"/>
      <c r="E31" s="625"/>
      <c r="F31" s="625"/>
      <c r="G31" s="625"/>
      <c r="H31" s="312"/>
    </row>
    <row r="32" spans="1:9" s="80" customFormat="1" ht="14.25" customHeight="1" x14ac:dyDescent="0.25">
      <c r="A32" s="627" t="s">
        <v>430</v>
      </c>
      <c r="B32" s="628"/>
      <c r="C32" s="628"/>
      <c r="D32" s="629"/>
      <c r="E32" s="628"/>
      <c r="F32" s="628"/>
      <c r="G32" s="628"/>
      <c r="H32" s="8"/>
      <c r="I32" s="8"/>
    </row>
    <row r="33" spans="1:8" s="8" customFormat="1" ht="15" x14ac:dyDescent="0.25">
      <c r="A33" s="613" t="s">
        <v>444</v>
      </c>
      <c r="B33" s="613"/>
      <c r="C33" s="613"/>
      <c r="D33" s="613"/>
      <c r="E33" s="613"/>
      <c r="F33" s="613"/>
      <c r="G33" s="613"/>
      <c r="H33" s="597"/>
    </row>
    <row r="34" spans="1:8" ht="24" customHeight="1" x14ac:dyDescent="0.25">
      <c r="A34" s="589" t="s">
        <v>5</v>
      </c>
      <c r="B34" s="589" t="s">
        <v>9</v>
      </c>
      <c r="C34" s="353" t="s">
        <v>7</v>
      </c>
      <c r="D34" s="589" t="s">
        <v>221</v>
      </c>
      <c r="E34" s="354" t="s">
        <v>0</v>
      </c>
      <c r="F34" s="355" t="s">
        <v>1</v>
      </c>
      <c r="G34" s="356" t="s">
        <v>321</v>
      </c>
    </row>
    <row r="35" spans="1:8" s="363" customFormat="1" ht="32.25" customHeight="1" x14ac:dyDescent="0.25">
      <c r="A35" s="595">
        <v>9</v>
      </c>
      <c r="B35" s="306" t="s">
        <v>428</v>
      </c>
      <c r="C35" s="364" t="s">
        <v>13</v>
      </c>
      <c r="D35" s="364">
        <v>2</v>
      </c>
      <c r="E35" s="75">
        <v>1</v>
      </c>
      <c r="F35" s="416">
        <f>'Cotizaciones Señalización'!L13</f>
        <v>50989905</v>
      </c>
      <c r="G35" s="416">
        <f>E35*F35</f>
        <v>50989905</v>
      </c>
    </row>
    <row r="36" spans="1:8" s="352" customFormat="1" x14ac:dyDescent="0.25">
      <c r="A36" s="614" t="s">
        <v>10</v>
      </c>
      <c r="B36" s="614"/>
      <c r="C36" s="615" t="s">
        <v>10</v>
      </c>
      <c r="D36" s="615"/>
      <c r="E36" s="615"/>
      <c r="F36" s="615"/>
      <c r="G36" s="350">
        <f>ROUND(SUM(G35),0)</f>
        <v>50989905</v>
      </c>
      <c r="H36" s="351"/>
    </row>
    <row r="37" spans="1:8" ht="15.75" customHeight="1" x14ac:dyDescent="0.25">
      <c r="A37" s="621" t="s">
        <v>451</v>
      </c>
      <c r="B37" s="622"/>
      <c r="C37" s="622"/>
      <c r="D37" s="622"/>
      <c r="E37" s="622"/>
      <c r="F37" s="623"/>
      <c r="G37" s="588">
        <f>G17+G23+G30+G36</f>
        <v>650714259</v>
      </c>
    </row>
    <row r="38" spans="1:8" ht="22.5" customHeight="1" x14ac:dyDescent="0.25">
      <c r="A38" s="127"/>
      <c r="B38" s="127"/>
      <c r="C38" s="127"/>
      <c r="D38" s="127"/>
      <c r="E38" s="127"/>
      <c r="F38" s="127"/>
      <c r="G38" s="126"/>
    </row>
    <row r="39" spans="1:8" ht="12" customHeight="1" x14ac:dyDescent="0.25">
      <c r="C39" s="313"/>
      <c r="E39" s="314" t="s">
        <v>305</v>
      </c>
      <c r="F39" s="315" t="e">
        <f>#REF!+#REF!</f>
        <v>#REF!</v>
      </c>
    </row>
    <row r="40" spans="1:8" ht="12" customHeight="1" x14ac:dyDescent="0.25">
      <c r="C40" s="316" t="s">
        <v>303</v>
      </c>
      <c r="E40" s="314" t="s">
        <v>304</v>
      </c>
      <c r="F40" s="315" t="e">
        <f>#REF!+#REF!+#REF!+#REF!</f>
        <v>#REF!</v>
      </c>
    </row>
    <row r="41" spans="1:8" ht="65.25" customHeight="1" x14ac:dyDescent="0.25">
      <c r="C41" s="320" t="s">
        <v>420</v>
      </c>
    </row>
    <row r="42" spans="1:8" ht="15.75" customHeight="1" x14ac:dyDescent="0.25">
      <c r="C42" s="319" t="s">
        <v>434</v>
      </c>
    </row>
    <row r="43" spans="1:8" x14ac:dyDescent="0.25">
      <c r="B43" s="342"/>
      <c r="E43" s="5"/>
    </row>
    <row r="44" spans="1:8" x14ac:dyDescent="0.25">
      <c r="B44" s="343"/>
      <c r="E44" s="1"/>
    </row>
    <row r="45" spans="1:8" x14ac:dyDescent="0.25">
      <c r="B45" s="36"/>
    </row>
    <row r="46" spans="1:8" x14ac:dyDescent="0.25">
      <c r="B46" s="36"/>
    </row>
    <row r="47" spans="1:8" x14ac:dyDescent="0.25">
      <c r="B47" s="36"/>
    </row>
  </sheetData>
  <mergeCells count="28">
    <mergeCell ref="A6:G6"/>
    <mergeCell ref="A1:G1"/>
    <mergeCell ref="A2:G2"/>
    <mergeCell ref="A3:G3"/>
    <mergeCell ref="A4:G4"/>
    <mergeCell ref="A5:G5"/>
    <mergeCell ref="A7:G7"/>
    <mergeCell ref="A8:G8"/>
    <mergeCell ref="A11:G11"/>
    <mergeCell ref="A14:G14"/>
    <mergeCell ref="A17:B17"/>
    <mergeCell ref="C17:F17"/>
    <mergeCell ref="A18:G18"/>
    <mergeCell ref="A19:G19"/>
    <mergeCell ref="A20:G20"/>
    <mergeCell ref="A23:B23"/>
    <mergeCell ref="C23:F23"/>
    <mergeCell ref="A24:G24"/>
    <mergeCell ref="A25:G25"/>
    <mergeCell ref="A26:G26"/>
    <mergeCell ref="A30:B30"/>
    <mergeCell ref="C30:F30"/>
    <mergeCell ref="A37:F37"/>
    <mergeCell ref="A31:G31"/>
    <mergeCell ref="A32:G32"/>
    <mergeCell ref="A33:G33"/>
    <mergeCell ref="A36:B36"/>
    <mergeCell ref="C36:F3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X51"/>
  <sheetViews>
    <sheetView zoomScaleNormal="100" workbookViewId="0">
      <pane ySplit="2" topLeftCell="A3" activePane="bottomLeft" state="frozen"/>
      <selection activeCell="B1" sqref="B1"/>
      <selection pane="bottomLeft" activeCell="A31" sqref="A31:XFD31"/>
    </sheetView>
  </sheetViews>
  <sheetFormatPr baseColWidth="10" defaultColWidth="11" defaultRowHeight="12.75" x14ac:dyDescent="0.25"/>
  <cols>
    <col min="1" max="1" width="4.42578125" style="538" customWidth="1"/>
    <col min="2" max="2" width="38.7109375" style="1" customWidth="1"/>
    <col min="3" max="3" width="8.5703125" style="1" customWidth="1"/>
    <col min="4" max="4" width="6" style="1" customWidth="1"/>
    <col min="5" max="5" width="8.42578125" style="2" customWidth="1"/>
    <col min="6" max="6" width="10.5703125" style="3" customWidth="1"/>
    <col min="7" max="7" width="12.7109375" style="1" customWidth="1"/>
    <col min="8" max="8" width="9" style="1" customWidth="1"/>
    <col min="9" max="9" width="6.140625" style="1" customWidth="1"/>
    <col min="10" max="10" width="8.28515625" style="2" customWidth="1"/>
    <col min="11" max="11" width="10.85546875" style="3" customWidth="1"/>
    <col min="12" max="12" width="12.5703125" style="1" customWidth="1"/>
    <col min="13" max="13" width="9" style="1" customWidth="1"/>
    <col min="14" max="14" width="6.28515625" style="1" customWidth="1"/>
    <col min="15" max="15" width="8.5703125" style="1" customWidth="1"/>
    <col min="16" max="16" width="11.140625" style="1" customWidth="1"/>
    <col min="17" max="17" width="12.5703125" style="1" customWidth="1"/>
    <col min="18" max="18" width="9.7109375" style="1" customWidth="1"/>
    <col min="19" max="19" width="6.140625" style="1" customWidth="1"/>
    <col min="20" max="20" width="8.42578125" style="1" customWidth="1"/>
    <col min="21" max="21" width="10.5703125" style="1" customWidth="1"/>
    <col min="22" max="22" width="12.5703125" style="1" customWidth="1"/>
    <col min="23" max="23" width="14.28515625" style="1" customWidth="1"/>
    <col min="24" max="16384" width="11" style="1"/>
  </cols>
  <sheetData>
    <row r="1" spans="1:24" ht="19.5" x14ac:dyDescent="0.25">
      <c r="A1" s="616" t="s">
        <v>348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</row>
    <row r="2" spans="1:24" ht="18" customHeight="1" x14ac:dyDescent="0.25">
      <c r="A2" s="617" t="s">
        <v>436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</row>
    <row r="3" spans="1:24" ht="16.5" customHeight="1" x14ac:dyDescent="0.25">
      <c r="A3" s="618" t="s">
        <v>323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</row>
    <row r="4" spans="1:24" s="7" customFormat="1" ht="16.5" customHeight="1" x14ac:dyDescent="0.25">
      <c r="A4" s="618" t="s">
        <v>324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</row>
    <row r="5" spans="1:24" s="7" customFormat="1" ht="16.5" customHeight="1" x14ac:dyDescent="0.25">
      <c r="A5" s="618" t="s">
        <v>325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</row>
    <row r="6" spans="1:24" s="8" customFormat="1" ht="15" customHeight="1" x14ac:dyDescent="0.25">
      <c r="A6" s="611" t="s">
        <v>349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</row>
    <row r="7" spans="1:24" s="4" customFormat="1" ht="13.5" customHeight="1" x14ac:dyDescent="0.25">
      <c r="A7" s="612" t="s">
        <v>350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331"/>
      <c r="X7" s="8"/>
    </row>
    <row r="8" spans="1:24" s="8" customFormat="1" ht="15" x14ac:dyDescent="0.25">
      <c r="A8" s="613" t="s">
        <v>442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</row>
    <row r="9" spans="1:24" ht="33.75" x14ac:dyDescent="0.25">
      <c r="A9" s="589" t="s">
        <v>5</v>
      </c>
      <c r="B9" s="357" t="s">
        <v>9</v>
      </c>
      <c r="C9" s="357" t="s">
        <v>7</v>
      </c>
      <c r="D9" s="589" t="s">
        <v>221</v>
      </c>
      <c r="E9" s="358" t="s">
        <v>0</v>
      </c>
      <c r="F9" s="359" t="s">
        <v>1</v>
      </c>
      <c r="G9" s="356" t="s">
        <v>294</v>
      </c>
      <c r="H9" s="353" t="s">
        <v>7</v>
      </c>
      <c r="I9" s="589" t="s">
        <v>221</v>
      </c>
      <c r="J9" s="354" t="s">
        <v>0</v>
      </c>
      <c r="K9" s="355" t="s">
        <v>1</v>
      </c>
      <c r="L9" s="356" t="s">
        <v>321</v>
      </c>
      <c r="M9" s="353" t="s">
        <v>7</v>
      </c>
      <c r="N9" s="589" t="s">
        <v>221</v>
      </c>
      <c r="O9" s="354" t="s">
        <v>0</v>
      </c>
      <c r="P9" s="355" t="s">
        <v>1</v>
      </c>
      <c r="Q9" s="356" t="s">
        <v>322</v>
      </c>
      <c r="R9" s="353" t="s">
        <v>7</v>
      </c>
      <c r="S9" s="589" t="s">
        <v>221</v>
      </c>
      <c r="T9" s="354" t="s">
        <v>0</v>
      </c>
      <c r="U9" s="355" t="s">
        <v>1</v>
      </c>
      <c r="V9" s="356" t="s">
        <v>331</v>
      </c>
      <c r="W9" s="7"/>
      <c r="X9" s="7"/>
    </row>
    <row r="10" spans="1:24" s="7" customFormat="1" ht="49.5" customHeight="1" x14ac:dyDescent="0.25">
      <c r="A10" s="591">
        <v>1</v>
      </c>
      <c r="B10" s="306" t="s">
        <v>438</v>
      </c>
      <c r="C10" s="41" t="s">
        <v>207</v>
      </c>
      <c r="D10" s="41">
        <v>3</v>
      </c>
      <c r="E10" s="348">
        <v>1</v>
      </c>
      <c r="F10" s="569">
        <v>3200000</v>
      </c>
      <c r="G10" s="569">
        <f>D10*E10*F10</f>
        <v>9600000</v>
      </c>
      <c r="H10" s="41" t="s">
        <v>207</v>
      </c>
      <c r="I10" s="41">
        <v>11</v>
      </c>
      <c r="J10" s="348">
        <v>1</v>
      </c>
      <c r="K10" s="415">
        <v>5000000</v>
      </c>
      <c r="L10" s="415">
        <f>I10*J10*K10</f>
        <v>55000000</v>
      </c>
      <c r="M10" s="41" t="s">
        <v>207</v>
      </c>
      <c r="N10" s="41">
        <v>11</v>
      </c>
      <c r="O10" s="348">
        <v>1</v>
      </c>
      <c r="P10" s="416">
        <f t="shared" ref="P10" si="0">K10*1.07</f>
        <v>5350000</v>
      </c>
      <c r="Q10" s="415">
        <f>N10*O10*P10</f>
        <v>58850000</v>
      </c>
      <c r="R10" s="41" t="s">
        <v>207</v>
      </c>
      <c r="S10" s="41">
        <v>11</v>
      </c>
      <c r="T10" s="348">
        <v>1</v>
      </c>
      <c r="U10" s="416">
        <v>6125217</v>
      </c>
      <c r="V10" s="415">
        <f>S10*T10*U10</f>
        <v>67377387</v>
      </c>
      <c r="W10" s="541"/>
    </row>
    <row r="11" spans="1:24" s="8" customFormat="1" ht="15" x14ac:dyDescent="0.25">
      <c r="A11" s="613" t="s">
        <v>443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</row>
    <row r="12" spans="1:24" ht="33.75" x14ac:dyDescent="0.25">
      <c r="A12" s="589" t="s">
        <v>5</v>
      </c>
      <c r="B12" s="589" t="s">
        <v>9</v>
      </c>
      <c r="C12" s="589" t="s">
        <v>7</v>
      </c>
      <c r="D12" s="589" t="s">
        <v>221</v>
      </c>
      <c r="E12" s="358" t="s">
        <v>0</v>
      </c>
      <c r="F12" s="359" t="s">
        <v>1</v>
      </c>
      <c r="G12" s="356" t="s">
        <v>294</v>
      </c>
      <c r="H12" s="353" t="s">
        <v>7</v>
      </c>
      <c r="I12" s="589" t="s">
        <v>221</v>
      </c>
      <c r="J12" s="354" t="s">
        <v>0</v>
      </c>
      <c r="K12" s="355" t="s">
        <v>1</v>
      </c>
      <c r="L12" s="356" t="s">
        <v>321</v>
      </c>
      <c r="M12" s="353" t="s">
        <v>7</v>
      </c>
      <c r="N12" s="589" t="s">
        <v>221</v>
      </c>
      <c r="O12" s="354" t="s">
        <v>0</v>
      </c>
      <c r="P12" s="355" t="s">
        <v>1</v>
      </c>
      <c r="Q12" s="356" t="s">
        <v>322</v>
      </c>
      <c r="R12" s="353" t="s">
        <v>7</v>
      </c>
      <c r="S12" s="589" t="s">
        <v>221</v>
      </c>
      <c r="T12" s="354" t="s">
        <v>0</v>
      </c>
      <c r="U12" s="355" t="s">
        <v>1</v>
      </c>
      <c r="V12" s="356" t="s">
        <v>331</v>
      </c>
      <c r="W12" s="7"/>
      <c r="X12" s="7"/>
    </row>
    <row r="13" spans="1:24" s="7" customFormat="1" ht="27" customHeight="1" x14ac:dyDescent="0.25">
      <c r="A13" s="619">
        <v>2</v>
      </c>
      <c r="B13" s="306" t="s">
        <v>439</v>
      </c>
      <c r="C13" s="41" t="s">
        <v>207</v>
      </c>
      <c r="D13" s="41">
        <v>3</v>
      </c>
      <c r="E13" s="348">
        <v>2</v>
      </c>
      <c r="F13" s="569">
        <v>2500000</v>
      </c>
      <c r="G13" s="569">
        <f>D13*E13*F13</f>
        <v>15000000</v>
      </c>
      <c r="H13" s="571" t="s">
        <v>207</v>
      </c>
      <c r="I13" s="41">
        <v>11</v>
      </c>
      <c r="J13" s="572">
        <v>4</v>
      </c>
      <c r="K13" s="573">
        <v>2700000</v>
      </c>
      <c r="L13" s="415">
        <f>I13*J13*K13</f>
        <v>118800000</v>
      </c>
      <c r="M13" s="571" t="s">
        <v>207</v>
      </c>
      <c r="N13" s="41">
        <v>11</v>
      </c>
      <c r="O13" s="572">
        <v>4</v>
      </c>
      <c r="P13" s="574">
        <f t="shared" ref="P13" si="1">K13*1.07</f>
        <v>2889000</v>
      </c>
      <c r="Q13" s="415">
        <f>N13*O13*P13</f>
        <v>127116000</v>
      </c>
      <c r="R13" s="571" t="s">
        <v>207</v>
      </c>
      <c r="S13" s="41">
        <v>11</v>
      </c>
      <c r="T13" s="572">
        <v>4</v>
      </c>
      <c r="U13" s="574">
        <v>3062607</v>
      </c>
      <c r="V13" s="415">
        <f>S13*T13*U13</f>
        <v>134754708</v>
      </c>
      <c r="W13" s="541"/>
    </row>
    <row r="14" spans="1:24" s="7" customFormat="1" ht="39.75" customHeight="1" x14ac:dyDescent="0.25">
      <c r="A14" s="620"/>
      <c r="B14" s="306" t="s">
        <v>440</v>
      </c>
      <c r="C14" s="41" t="s">
        <v>207</v>
      </c>
      <c r="D14" s="571">
        <v>3.4</v>
      </c>
      <c r="E14" s="572">
        <v>2</v>
      </c>
      <c r="F14" s="569">
        <v>2500000</v>
      </c>
      <c r="G14" s="569">
        <f>D14*E14*F14</f>
        <v>17000000</v>
      </c>
      <c r="H14" s="571" t="s">
        <v>207</v>
      </c>
      <c r="I14" s="571">
        <v>0</v>
      </c>
      <c r="J14" s="348">
        <v>0</v>
      </c>
      <c r="K14" s="416">
        <v>0</v>
      </c>
      <c r="L14" s="416">
        <v>0</v>
      </c>
      <c r="M14" s="571" t="s">
        <v>207</v>
      </c>
      <c r="N14" s="571">
        <v>0</v>
      </c>
      <c r="O14" s="348">
        <v>0</v>
      </c>
      <c r="P14" s="416">
        <f>K14*1.07</f>
        <v>0</v>
      </c>
      <c r="Q14" s="416">
        <f>O14*P14</f>
        <v>0</v>
      </c>
      <c r="R14" s="571" t="s">
        <v>207</v>
      </c>
      <c r="S14" s="571">
        <v>0</v>
      </c>
      <c r="T14" s="348">
        <v>0</v>
      </c>
      <c r="U14" s="416">
        <f>P14*1.07</f>
        <v>0</v>
      </c>
      <c r="V14" s="416">
        <f>T14*U14</f>
        <v>0</v>
      </c>
      <c r="W14" s="541"/>
    </row>
    <row r="15" spans="1:24" s="8" customFormat="1" ht="15" x14ac:dyDescent="0.25">
      <c r="A15" s="613" t="s">
        <v>444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597"/>
    </row>
    <row r="16" spans="1:24" ht="33.75" x14ac:dyDescent="0.25">
      <c r="A16" s="589" t="s">
        <v>5</v>
      </c>
      <c r="B16" s="589" t="s">
        <v>9</v>
      </c>
      <c r="C16" s="589" t="s">
        <v>7</v>
      </c>
      <c r="D16" s="589" t="s">
        <v>221</v>
      </c>
      <c r="E16" s="358" t="s">
        <v>0</v>
      </c>
      <c r="F16" s="359" t="s">
        <v>1</v>
      </c>
      <c r="G16" s="356" t="s">
        <v>294</v>
      </c>
      <c r="H16" s="353" t="s">
        <v>7</v>
      </c>
      <c r="I16" s="589" t="s">
        <v>221</v>
      </c>
      <c r="J16" s="354" t="s">
        <v>0</v>
      </c>
      <c r="K16" s="355" t="s">
        <v>1</v>
      </c>
      <c r="L16" s="356" t="s">
        <v>321</v>
      </c>
      <c r="M16" s="353" t="s">
        <v>7</v>
      </c>
      <c r="N16" s="589" t="s">
        <v>221</v>
      </c>
      <c r="O16" s="354" t="s">
        <v>0</v>
      </c>
      <c r="P16" s="355" t="s">
        <v>1</v>
      </c>
      <c r="Q16" s="356" t="s">
        <v>322</v>
      </c>
      <c r="R16" s="353" t="s">
        <v>7</v>
      </c>
      <c r="S16" s="589" t="s">
        <v>221</v>
      </c>
      <c r="T16" s="354" t="s">
        <v>0</v>
      </c>
      <c r="U16" s="355" t="s">
        <v>1</v>
      </c>
      <c r="V16" s="356" t="s">
        <v>331</v>
      </c>
      <c r="W16" s="7"/>
      <c r="X16" s="7"/>
    </row>
    <row r="17" spans="1:24" s="7" customFormat="1" ht="33.75" customHeight="1" x14ac:dyDescent="0.25">
      <c r="A17" s="591">
        <v>3</v>
      </c>
      <c r="B17" s="306" t="s">
        <v>437</v>
      </c>
      <c r="C17" s="41" t="s">
        <v>13</v>
      </c>
      <c r="D17" s="41">
        <v>1</v>
      </c>
      <c r="E17" s="348">
        <v>1</v>
      </c>
      <c r="F17" s="569">
        <v>18700012</v>
      </c>
      <c r="G17" s="569">
        <f>D17*E17*F17</f>
        <v>18700012</v>
      </c>
      <c r="H17" s="41" t="s">
        <v>13</v>
      </c>
      <c r="I17" s="41">
        <v>1</v>
      </c>
      <c r="J17" s="348">
        <v>1</v>
      </c>
      <c r="K17" s="415">
        <f>F17*1.07</f>
        <v>20009012.84</v>
      </c>
      <c r="L17" s="415">
        <f>K17</f>
        <v>20009012.84</v>
      </c>
      <c r="M17" s="41" t="s">
        <v>13</v>
      </c>
      <c r="N17" s="41">
        <v>1</v>
      </c>
      <c r="O17" s="348">
        <v>1</v>
      </c>
      <c r="P17" s="415">
        <f>K17*1.07</f>
        <v>21409643.7388</v>
      </c>
      <c r="Q17" s="415">
        <f>P17</f>
        <v>21409643.7388</v>
      </c>
      <c r="R17" s="41" t="s">
        <v>13</v>
      </c>
      <c r="S17" s="41">
        <v>1</v>
      </c>
      <c r="T17" s="348">
        <v>1</v>
      </c>
      <c r="U17" s="415">
        <f>P17*1.07</f>
        <v>22908318.800516002</v>
      </c>
      <c r="V17" s="415">
        <f>U17</f>
        <v>22908318.800516002</v>
      </c>
      <c r="W17" s="541"/>
    </row>
    <row r="18" spans="1:24" s="352" customFormat="1" x14ac:dyDescent="0.25">
      <c r="A18" s="614" t="s">
        <v>10</v>
      </c>
      <c r="B18" s="614"/>
      <c r="C18" s="614"/>
      <c r="D18" s="614"/>
      <c r="E18" s="614"/>
      <c r="F18" s="614"/>
      <c r="G18" s="350">
        <f>ROUND(SUM(G10:G17),0)</f>
        <v>60300012</v>
      </c>
      <c r="H18" s="615" t="s">
        <v>10</v>
      </c>
      <c r="I18" s="615"/>
      <c r="J18" s="615"/>
      <c r="K18" s="615"/>
      <c r="L18" s="350">
        <f>ROUND(SUM(L10:L17),0)</f>
        <v>193809013</v>
      </c>
      <c r="M18" s="615" t="s">
        <v>10</v>
      </c>
      <c r="N18" s="615"/>
      <c r="O18" s="615"/>
      <c r="P18" s="615"/>
      <c r="Q18" s="350">
        <f>ROUND(SUM(Q10:Q17),0)</f>
        <v>207375644</v>
      </c>
      <c r="R18" s="615" t="s">
        <v>10</v>
      </c>
      <c r="S18" s="615"/>
      <c r="T18" s="615"/>
      <c r="U18" s="615"/>
      <c r="V18" s="350">
        <f>ROUND(SUM(V10:V17),0)</f>
        <v>225040414</v>
      </c>
      <c r="W18" s="351"/>
      <c r="X18" s="351"/>
    </row>
    <row r="19" spans="1:24" s="8" customFormat="1" ht="15" customHeight="1" x14ac:dyDescent="0.25">
      <c r="A19" s="611" t="s">
        <v>351</v>
      </c>
      <c r="B19" s="611"/>
      <c r="C19" s="611"/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1"/>
    </row>
    <row r="20" spans="1:24" s="80" customFormat="1" ht="13.5" customHeight="1" x14ac:dyDescent="0.25">
      <c r="A20" s="612" t="s">
        <v>352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331"/>
      <c r="X20" s="8"/>
    </row>
    <row r="21" spans="1:24" s="8" customFormat="1" ht="15" x14ac:dyDescent="0.25">
      <c r="A21" s="613" t="s">
        <v>444</v>
      </c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597"/>
    </row>
    <row r="22" spans="1:24" ht="25.5" customHeight="1" x14ac:dyDescent="0.25">
      <c r="A22" s="589" t="s">
        <v>5</v>
      </c>
      <c r="B22" s="357" t="s">
        <v>9</v>
      </c>
      <c r="C22" s="357" t="s">
        <v>7</v>
      </c>
      <c r="D22" s="589" t="s">
        <v>221</v>
      </c>
      <c r="E22" s="358" t="s">
        <v>0</v>
      </c>
      <c r="F22" s="359" t="s">
        <v>1</v>
      </c>
      <c r="G22" s="356" t="s">
        <v>294</v>
      </c>
      <c r="H22" s="353" t="s">
        <v>7</v>
      </c>
      <c r="I22" s="589" t="s">
        <v>221</v>
      </c>
      <c r="J22" s="354" t="s">
        <v>0</v>
      </c>
      <c r="K22" s="355" t="s">
        <v>1</v>
      </c>
      <c r="L22" s="356" t="s">
        <v>321</v>
      </c>
      <c r="M22" s="353" t="s">
        <v>7</v>
      </c>
      <c r="N22" s="589" t="s">
        <v>221</v>
      </c>
      <c r="O22" s="354" t="s">
        <v>0</v>
      </c>
      <c r="P22" s="355" t="s">
        <v>1</v>
      </c>
      <c r="Q22" s="356" t="s">
        <v>322</v>
      </c>
      <c r="R22" s="353" t="s">
        <v>7</v>
      </c>
      <c r="S22" s="589" t="s">
        <v>221</v>
      </c>
      <c r="T22" s="354" t="s">
        <v>0</v>
      </c>
      <c r="U22" s="355" t="s">
        <v>1</v>
      </c>
      <c r="V22" s="356" t="s">
        <v>331</v>
      </c>
      <c r="W22" s="7"/>
      <c r="X22" s="7"/>
    </row>
    <row r="23" spans="1:24" s="7" customFormat="1" ht="40.5" customHeight="1" x14ac:dyDescent="0.25">
      <c r="A23" s="591">
        <v>4</v>
      </c>
      <c r="B23" s="590" t="s">
        <v>327</v>
      </c>
      <c r="C23" s="41" t="s">
        <v>13</v>
      </c>
      <c r="D23" s="41">
        <v>2</v>
      </c>
      <c r="E23" s="348">
        <v>1</v>
      </c>
      <c r="F23" s="569">
        <v>269783584</v>
      </c>
      <c r="G23" s="569">
        <f>E23*F23</f>
        <v>269783584</v>
      </c>
      <c r="H23" s="41" t="s">
        <v>13</v>
      </c>
      <c r="I23" s="41">
        <v>0</v>
      </c>
      <c r="J23" s="348">
        <v>0</v>
      </c>
      <c r="K23" s="416">
        <v>0</v>
      </c>
      <c r="L23" s="416">
        <v>0</v>
      </c>
      <c r="M23" s="41" t="s">
        <v>13</v>
      </c>
      <c r="N23" s="41">
        <v>0</v>
      </c>
      <c r="O23" s="348">
        <v>0</v>
      </c>
      <c r="P23" s="416">
        <f>K23*1.07</f>
        <v>0</v>
      </c>
      <c r="Q23" s="416">
        <f>O23*P23</f>
        <v>0</v>
      </c>
      <c r="R23" s="41" t="s">
        <v>13</v>
      </c>
      <c r="S23" s="41">
        <v>0</v>
      </c>
      <c r="T23" s="348">
        <v>0</v>
      </c>
      <c r="U23" s="416">
        <f>P23*1.07</f>
        <v>0</v>
      </c>
      <c r="V23" s="416">
        <f>T23*U23</f>
        <v>0</v>
      </c>
    </row>
    <row r="24" spans="1:24" s="7" customFormat="1" ht="42.75" customHeight="1" x14ac:dyDescent="0.25">
      <c r="A24" s="592">
        <v>5</v>
      </c>
      <c r="B24" s="590" t="s">
        <v>328</v>
      </c>
      <c r="C24" s="41" t="s">
        <v>13</v>
      </c>
      <c r="D24" s="41">
        <v>2</v>
      </c>
      <c r="E24" s="73">
        <v>1</v>
      </c>
      <c r="F24" s="575">
        <v>20470638</v>
      </c>
      <c r="G24" s="575">
        <f>E24*F24</f>
        <v>20470638</v>
      </c>
      <c r="H24" s="41" t="s">
        <v>13</v>
      </c>
      <c r="I24" s="41">
        <v>0</v>
      </c>
      <c r="J24" s="348">
        <v>0</v>
      </c>
      <c r="K24" s="416">
        <v>0</v>
      </c>
      <c r="L24" s="416">
        <v>0</v>
      </c>
      <c r="M24" s="41" t="s">
        <v>13</v>
      </c>
      <c r="N24" s="41">
        <v>0</v>
      </c>
      <c r="O24" s="348">
        <v>0</v>
      </c>
      <c r="P24" s="416">
        <f>K24*1.07</f>
        <v>0</v>
      </c>
      <c r="Q24" s="416">
        <f>O24*P24</f>
        <v>0</v>
      </c>
      <c r="R24" s="41" t="s">
        <v>13</v>
      </c>
      <c r="S24" s="41">
        <v>0</v>
      </c>
      <c r="T24" s="348">
        <v>0</v>
      </c>
      <c r="U24" s="416">
        <f>P24*1.07</f>
        <v>0</v>
      </c>
      <c r="V24" s="416">
        <f>T24*U24</f>
        <v>0</v>
      </c>
    </row>
    <row r="25" spans="1:24" s="7" customFormat="1" ht="48" customHeight="1" x14ac:dyDescent="0.25">
      <c r="A25" s="593">
        <v>6</v>
      </c>
      <c r="B25" s="570" t="s">
        <v>326</v>
      </c>
      <c r="C25" s="571" t="s">
        <v>13</v>
      </c>
      <c r="D25" s="571">
        <v>0</v>
      </c>
      <c r="E25" s="572">
        <v>0</v>
      </c>
      <c r="F25" s="573">
        <v>0</v>
      </c>
      <c r="G25" s="573">
        <v>0</v>
      </c>
      <c r="H25" s="571" t="s">
        <v>13</v>
      </c>
      <c r="I25" s="571">
        <v>1</v>
      </c>
      <c r="J25" s="572">
        <v>1</v>
      </c>
      <c r="K25" s="574">
        <f>'Cotizaciones Materiales'!P24</f>
        <v>129939080.86666664</v>
      </c>
      <c r="L25" s="574">
        <f>J25*K25</f>
        <v>129939080.86666664</v>
      </c>
      <c r="M25" s="571" t="s">
        <v>13</v>
      </c>
      <c r="N25" s="571">
        <v>1</v>
      </c>
      <c r="O25" s="572">
        <v>1</v>
      </c>
      <c r="P25" s="574">
        <f>K25*1.07</f>
        <v>139034816.52733332</v>
      </c>
      <c r="Q25" s="573">
        <f>O25*P25</f>
        <v>139034816.52733332</v>
      </c>
      <c r="R25" s="571" t="s">
        <v>13</v>
      </c>
      <c r="S25" s="571">
        <v>1</v>
      </c>
      <c r="T25" s="572">
        <v>1</v>
      </c>
      <c r="U25" s="574">
        <f>P25*1.07</f>
        <v>148767253.68424666</v>
      </c>
      <c r="V25" s="573">
        <f>T25*U25</f>
        <v>148767253.68424666</v>
      </c>
      <c r="W25" s="541"/>
    </row>
    <row r="26" spans="1:24" s="352" customFormat="1" x14ac:dyDescent="0.25">
      <c r="A26" s="614" t="s">
        <v>10</v>
      </c>
      <c r="B26" s="614"/>
      <c r="C26" s="614"/>
      <c r="D26" s="614"/>
      <c r="E26" s="614"/>
      <c r="F26" s="614"/>
      <c r="G26" s="350">
        <f>ROUND(SUM(G23:G25),0)</f>
        <v>290254222</v>
      </c>
      <c r="H26" s="615" t="s">
        <v>10</v>
      </c>
      <c r="I26" s="615"/>
      <c r="J26" s="615"/>
      <c r="K26" s="615"/>
      <c r="L26" s="350">
        <f>ROUND(SUM(L23:L25),0)</f>
        <v>129939081</v>
      </c>
      <c r="M26" s="615" t="s">
        <v>10</v>
      </c>
      <c r="N26" s="615"/>
      <c r="O26" s="615"/>
      <c r="P26" s="615"/>
      <c r="Q26" s="350">
        <f>ROUND(SUM(Q23:Q25),0)</f>
        <v>139034817</v>
      </c>
      <c r="R26" s="615" t="s">
        <v>10</v>
      </c>
      <c r="S26" s="615"/>
      <c r="T26" s="615"/>
      <c r="U26" s="615"/>
      <c r="V26" s="350">
        <f>ROUND(SUM(V23:V25),0)</f>
        <v>148767254</v>
      </c>
      <c r="W26" s="351"/>
    </row>
    <row r="27" spans="1:24" s="8" customFormat="1" ht="15.75" customHeight="1" x14ac:dyDescent="0.25">
      <c r="A27" s="624" t="s">
        <v>353</v>
      </c>
      <c r="B27" s="625"/>
      <c r="C27" s="625"/>
      <c r="D27" s="626"/>
      <c r="E27" s="625"/>
      <c r="F27" s="625"/>
      <c r="G27" s="625"/>
      <c r="H27" s="625"/>
      <c r="I27" s="626"/>
      <c r="J27" s="625"/>
      <c r="K27" s="625"/>
      <c r="L27" s="625"/>
      <c r="M27" s="625"/>
      <c r="N27" s="626"/>
      <c r="O27" s="625"/>
      <c r="P27" s="625"/>
      <c r="Q27" s="625"/>
      <c r="R27" s="625"/>
      <c r="S27" s="626"/>
      <c r="T27" s="625"/>
      <c r="U27" s="625"/>
      <c r="V27" s="631"/>
      <c r="W27" s="312"/>
    </row>
    <row r="28" spans="1:24" s="4" customFormat="1" ht="14.25" customHeight="1" x14ac:dyDescent="0.25">
      <c r="A28" s="627" t="s">
        <v>454</v>
      </c>
      <c r="B28" s="628"/>
      <c r="C28" s="628"/>
      <c r="D28" s="629"/>
      <c r="E28" s="628"/>
      <c r="F28" s="628"/>
      <c r="G28" s="628"/>
      <c r="H28" s="628"/>
      <c r="I28" s="629"/>
      <c r="J28" s="628"/>
      <c r="K28" s="628"/>
      <c r="L28" s="628"/>
      <c r="M28" s="628"/>
      <c r="N28" s="629"/>
      <c r="O28" s="628"/>
      <c r="P28" s="628"/>
      <c r="Q28" s="628"/>
      <c r="R28" s="628"/>
      <c r="S28" s="629"/>
      <c r="T28" s="628"/>
      <c r="U28" s="628"/>
      <c r="V28" s="630"/>
      <c r="W28" s="8"/>
      <c r="X28" s="8"/>
    </row>
    <row r="29" spans="1:24" s="8" customFormat="1" ht="15" x14ac:dyDescent="0.25">
      <c r="A29" s="613" t="s">
        <v>444</v>
      </c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597"/>
    </row>
    <row r="30" spans="1:24" ht="24" customHeight="1" x14ac:dyDescent="0.25">
      <c r="A30" s="589" t="s">
        <v>5</v>
      </c>
      <c r="B30" s="357" t="s">
        <v>9</v>
      </c>
      <c r="C30" s="357" t="s">
        <v>7</v>
      </c>
      <c r="D30" s="589" t="s">
        <v>221</v>
      </c>
      <c r="E30" s="358" t="s">
        <v>0</v>
      </c>
      <c r="F30" s="359" t="s">
        <v>1</v>
      </c>
      <c r="G30" s="356" t="s">
        <v>294</v>
      </c>
      <c r="H30" s="353" t="s">
        <v>7</v>
      </c>
      <c r="I30" s="589" t="s">
        <v>221</v>
      </c>
      <c r="J30" s="354" t="s">
        <v>0</v>
      </c>
      <c r="K30" s="355" t="s">
        <v>1</v>
      </c>
      <c r="L30" s="356" t="s">
        <v>321</v>
      </c>
      <c r="M30" s="353" t="s">
        <v>7</v>
      </c>
      <c r="N30" s="589" t="s">
        <v>221</v>
      </c>
      <c r="O30" s="354" t="s">
        <v>0</v>
      </c>
      <c r="P30" s="355" t="s">
        <v>1</v>
      </c>
      <c r="Q30" s="356" t="s">
        <v>322</v>
      </c>
      <c r="R30" s="353" t="s">
        <v>7</v>
      </c>
      <c r="S30" s="589" t="s">
        <v>221</v>
      </c>
      <c r="T30" s="354" t="s">
        <v>0</v>
      </c>
      <c r="U30" s="355" t="s">
        <v>1</v>
      </c>
      <c r="V30" s="356" t="s">
        <v>331</v>
      </c>
    </row>
    <row r="31" spans="1:24" s="6" customFormat="1" ht="36.75" customHeight="1" x14ac:dyDescent="0.25">
      <c r="A31" s="594">
        <v>7</v>
      </c>
      <c r="B31" s="306" t="s">
        <v>329</v>
      </c>
      <c r="C31" s="37" t="s">
        <v>13</v>
      </c>
      <c r="D31" s="37">
        <v>0</v>
      </c>
      <c r="E31" s="75">
        <v>0</v>
      </c>
      <c r="F31" s="415">
        <v>0</v>
      </c>
      <c r="G31" s="75">
        <v>0</v>
      </c>
      <c r="H31" s="37" t="s">
        <v>13</v>
      </c>
      <c r="I31" s="37">
        <v>2</v>
      </c>
      <c r="J31" s="75">
        <v>1</v>
      </c>
      <c r="K31" s="416">
        <f>'Cotizaciones Señalización'!L9</f>
        <v>250518541.5</v>
      </c>
      <c r="L31" s="416">
        <f>J31*K31</f>
        <v>250518541.5</v>
      </c>
      <c r="M31" s="364" t="s">
        <v>13</v>
      </c>
      <c r="N31" s="37">
        <v>2</v>
      </c>
      <c r="O31" s="75">
        <v>1</v>
      </c>
      <c r="P31" s="416">
        <f>K31*1.07</f>
        <v>268054839.405</v>
      </c>
      <c r="Q31" s="416">
        <f t="shared" ref="Q31:Q32" si="2">O31*P31</f>
        <v>268054839.405</v>
      </c>
      <c r="R31" s="364" t="s">
        <v>13</v>
      </c>
      <c r="S31" s="37">
        <v>2</v>
      </c>
      <c r="T31" s="75">
        <v>1</v>
      </c>
      <c r="U31" s="416">
        <f>P31*1.07</f>
        <v>286818678.16335005</v>
      </c>
      <c r="V31" s="415">
        <f>T31*U31</f>
        <v>286818678.16335005</v>
      </c>
    </row>
    <row r="32" spans="1:24" s="363" customFormat="1" ht="42.75" customHeight="1" x14ac:dyDescent="0.25">
      <c r="A32" s="595">
        <v>8</v>
      </c>
      <c r="B32" s="306" t="s">
        <v>330</v>
      </c>
      <c r="C32" s="364" t="s">
        <v>13</v>
      </c>
      <c r="D32" s="364">
        <v>0</v>
      </c>
      <c r="E32" s="75">
        <v>0</v>
      </c>
      <c r="F32" s="416">
        <v>0</v>
      </c>
      <c r="G32" s="416">
        <v>0</v>
      </c>
      <c r="H32" s="364" t="s">
        <v>13</v>
      </c>
      <c r="I32" s="364">
        <v>2</v>
      </c>
      <c r="J32" s="75">
        <v>1</v>
      </c>
      <c r="K32" s="416">
        <f>'Interventoría Señalización Vert'!I30</f>
        <v>25457718.440000001</v>
      </c>
      <c r="L32" s="416">
        <f>J32*K32</f>
        <v>25457718.440000001</v>
      </c>
      <c r="M32" s="364" t="s">
        <v>13</v>
      </c>
      <c r="N32" s="364">
        <v>2</v>
      </c>
      <c r="O32" s="75">
        <v>1</v>
      </c>
      <c r="P32" s="416">
        <f>K32*1.07</f>
        <v>27239758.730800003</v>
      </c>
      <c r="Q32" s="416">
        <f t="shared" si="2"/>
        <v>27239758.730800003</v>
      </c>
      <c r="R32" s="364" t="s">
        <v>13</v>
      </c>
      <c r="S32" s="364">
        <v>2</v>
      </c>
      <c r="T32" s="75">
        <v>1</v>
      </c>
      <c r="U32" s="416">
        <f>P32*1.07</f>
        <v>29146541.841956005</v>
      </c>
      <c r="V32" s="416">
        <f>T32*U32</f>
        <v>29146541.841956005</v>
      </c>
    </row>
    <row r="33" spans="1:24" s="352" customFormat="1" x14ac:dyDescent="0.25">
      <c r="A33" s="614" t="s">
        <v>10</v>
      </c>
      <c r="B33" s="614"/>
      <c r="C33" s="614"/>
      <c r="D33" s="614"/>
      <c r="E33" s="614"/>
      <c r="F33" s="614"/>
      <c r="G33" s="350">
        <f>ROUND(SUM(G31:G32),0)</f>
        <v>0</v>
      </c>
      <c r="H33" s="615" t="s">
        <v>10</v>
      </c>
      <c r="I33" s="615"/>
      <c r="J33" s="615"/>
      <c r="K33" s="615"/>
      <c r="L33" s="350">
        <f>ROUND(SUM(L31:L32),0)</f>
        <v>275976260</v>
      </c>
      <c r="M33" s="615" t="s">
        <v>10</v>
      </c>
      <c r="N33" s="615"/>
      <c r="O33" s="615"/>
      <c r="P33" s="615"/>
      <c r="Q33" s="350">
        <f>ROUND(SUM(Q31:Q32),0)</f>
        <v>295294598</v>
      </c>
      <c r="R33" s="615" t="s">
        <v>10</v>
      </c>
      <c r="S33" s="615"/>
      <c r="T33" s="615"/>
      <c r="U33" s="615"/>
      <c r="V33" s="350">
        <f>ROUND(SUM(V31:V32),0)</f>
        <v>315965220</v>
      </c>
      <c r="W33" s="351"/>
    </row>
    <row r="34" spans="1:24" s="8" customFormat="1" ht="15.75" customHeight="1" x14ac:dyDescent="0.25">
      <c r="A34" s="624" t="s">
        <v>415</v>
      </c>
      <c r="B34" s="625"/>
      <c r="C34" s="625"/>
      <c r="D34" s="626"/>
      <c r="E34" s="625"/>
      <c r="F34" s="625"/>
      <c r="G34" s="625"/>
      <c r="H34" s="625"/>
      <c r="I34" s="626"/>
      <c r="J34" s="625"/>
      <c r="K34" s="625"/>
      <c r="L34" s="625"/>
      <c r="M34" s="625"/>
      <c r="N34" s="626"/>
      <c r="O34" s="625"/>
      <c r="P34" s="625"/>
      <c r="Q34" s="625"/>
      <c r="R34" s="625"/>
      <c r="S34" s="626"/>
      <c r="T34" s="625"/>
      <c r="U34" s="625"/>
      <c r="V34" s="631"/>
      <c r="W34" s="312"/>
    </row>
    <row r="35" spans="1:24" s="80" customFormat="1" ht="14.25" customHeight="1" x14ac:dyDescent="0.25">
      <c r="A35" s="627" t="s">
        <v>455</v>
      </c>
      <c r="B35" s="628"/>
      <c r="C35" s="628"/>
      <c r="D35" s="629"/>
      <c r="E35" s="628"/>
      <c r="F35" s="628"/>
      <c r="G35" s="628"/>
      <c r="H35" s="628"/>
      <c r="I35" s="629"/>
      <c r="J35" s="628"/>
      <c r="K35" s="628"/>
      <c r="L35" s="628"/>
      <c r="M35" s="628"/>
      <c r="N35" s="629"/>
      <c r="O35" s="628"/>
      <c r="P35" s="628"/>
      <c r="Q35" s="628"/>
      <c r="R35" s="628"/>
      <c r="S35" s="629"/>
      <c r="T35" s="628"/>
      <c r="U35" s="628"/>
      <c r="V35" s="630"/>
      <c r="W35" s="8"/>
      <c r="X35" s="8"/>
    </row>
    <row r="36" spans="1:24" s="8" customFormat="1" ht="15" x14ac:dyDescent="0.25">
      <c r="A36" s="613" t="s">
        <v>444</v>
      </c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597"/>
    </row>
    <row r="37" spans="1:24" ht="24" customHeight="1" x14ac:dyDescent="0.25">
      <c r="A37" s="589" t="s">
        <v>5</v>
      </c>
      <c r="B37" s="564" t="s">
        <v>9</v>
      </c>
      <c r="C37" s="564" t="s">
        <v>7</v>
      </c>
      <c r="D37" s="589"/>
      <c r="E37" s="358" t="s">
        <v>0</v>
      </c>
      <c r="F37" s="359" t="s">
        <v>1</v>
      </c>
      <c r="G37" s="356" t="s">
        <v>294</v>
      </c>
      <c r="H37" s="353" t="s">
        <v>7</v>
      </c>
      <c r="I37" s="589" t="s">
        <v>221</v>
      </c>
      <c r="J37" s="354" t="s">
        <v>0</v>
      </c>
      <c r="K37" s="355" t="s">
        <v>1</v>
      </c>
      <c r="L37" s="356" t="s">
        <v>321</v>
      </c>
      <c r="M37" s="353" t="s">
        <v>7</v>
      </c>
      <c r="N37" s="589" t="s">
        <v>221</v>
      </c>
      <c r="O37" s="354" t="s">
        <v>0</v>
      </c>
      <c r="P37" s="355" t="s">
        <v>1</v>
      </c>
      <c r="Q37" s="356" t="s">
        <v>322</v>
      </c>
      <c r="R37" s="353" t="s">
        <v>7</v>
      </c>
      <c r="S37" s="589" t="s">
        <v>221</v>
      </c>
      <c r="T37" s="354" t="s">
        <v>0</v>
      </c>
      <c r="U37" s="355" t="s">
        <v>1</v>
      </c>
      <c r="V37" s="356" t="s">
        <v>331</v>
      </c>
    </row>
    <row r="38" spans="1:24" s="363" customFormat="1" ht="38.25" customHeight="1" x14ac:dyDescent="0.25">
      <c r="A38" s="595">
        <v>9</v>
      </c>
      <c r="B38" s="306" t="s">
        <v>428</v>
      </c>
      <c r="C38" s="364" t="s">
        <v>13</v>
      </c>
      <c r="D38" s="364"/>
      <c r="E38" s="75">
        <v>0</v>
      </c>
      <c r="F38" s="416">
        <v>0</v>
      </c>
      <c r="G38" s="416">
        <v>0</v>
      </c>
      <c r="H38" s="364" t="s">
        <v>13</v>
      </c>
      <c r="I38" s="364">
        <v>2</v>
      </c>
      <c r="J38" s="75">
        <v>1</v>
      </c>
      <c r="K38" s="416">
        <f>'Cotizaciones Señalización'!L13</f>
        <v>50989905</v>
      </c>
      <c r="L38" s="416">
        <f>J38*K38</f>
        <v>50989905</v>
      </c>
      <c r="M38" s="364" t="s">
        <v>13</v>
      </c>
      <c r="N38" s="364">
        <v>2</v>
      </c>
      <c r="O38" s="75">
        <v>1</v>
      </c>
      <c r="P38" s="416">
        <f>K38*1.07</f>
        <v>54559198.350000001</v>
      </c>
      <c r="Q38" s="416">
        <f t="shared" ref="Q38" si="3">O38*P38</f>
        <v>54559198.350000001</v>
      </c>
      <c r="R38" s="364" t="s">
        <v>13</v>
      </c>
      <c r="S38" s="364">
        <v>2</v>
      </c>
      <c r="T38" s="75">
        <v>1</v>
      </c>
      <c r="U38" s="416">
        <f>P38*1.07</f>
        <v>58378342.234500006</v>
      </c>
      <c r="V38" s="416">
        <f>T38*U38</f>
        <v>58378342.234500006</v>
      </c>
    </row>
    <row r="39" spans="1:24" s="352" customFormat="1" x14ac:dyDescent="0.25">
      <c r="A39" s="614" t="s">
        <v>10</v>
      </c>
      <c r="B39" s="614"/>
      <c r="C39" s="614"/>
      <c r="D39" s="614"/>
      <c r="E39" s="614"/>
      <c r="F39" s="614"/>
      <c r="G39" s="350">
        <f>ROUND(SUM(G38),0)</f>
        <v>0</v>
      </c>
      <c r="H39" s="615" t="s">
        <v>10</v>
      </c>
      <c r="I39" s="615"/>
      <c r="J39" s="615"/>
      <c r="K39" s="615"/>
      <c r="L39" s="350">
        <f>ROUND(SUM(L38),0)</f>
        <v>50989905</v>
      </c>
      <c r="M39" s="615" t="s">
        <v>10</v>
      </c>
      <c r="N39" s="615"/>
      <c r="O39" s="615"/>
      <c r="P39" s="615"/>
      <c r="Q39" s="350">
        <f>ROUND(SUM(Q38),0)</f>
        <v>54559198</v>
      </c>
      <c r="R39" s="615" t="s">
        <v>10</v>
      </c>
      <c r="S39" s="615"/>
      <c r="T39" s="615"/>
      <c r="U39" s="615"/>
      <c r="V39" s="350">
        <f>ROUND(SUM(V38),0)</f>
        <v>58378342</v>
      </c>
      <c r="W39" s="351"/>
    </row>
    <row r="40" spans="1:24" ht="15.75" x14ac:dyDescent="0.25">
      <c r="A40" s="609" t="s">
        <v>11</v>
      </c>
      <c r="B40" s="609"/>
      <c r="C40" s="609"/>
      <c r="D40" s="609"/>
      <c r="E40" s="609"/>
      <c r="F40" s="609"/>
      <c r="G40" s="565">
        <f>G18+G26+G33+G39</f>
        <v>350554234</v>
      </c>
      <c r="H40" s="633"/>
      <c r="I40" s="633"/>
      <c r="J40" s="633"/>
      <c r="K40" s="633"/>
      <c r="L40" s="588">
        <f>L18+L26+L33+L39</f>
        <v>650714259</v>
      </c>
      <c r="M40" s="633"/>
      <c r="N40" s="633"/>
      <c r="O40" s="633"/>
      <c r="P40" s="633"/>
      <c r="Q40" s="588">
        <f>Q18+Q26+Q33+Q39</f>
        <v>696264257</v>
      </c>
      <c r="R40" s="633"/>
      <c r="S40" s="633"/>
      <c r="T40" s="633"/>
      <c r="U40" s="633"/>
      <c r="V40" s="588">
        <f>V18+V26+V33+V39</f>
        <v>748151230</v>
      </c>
    </row>
    <row r="41" spans="1:24" ht="20.25" x14ac:dyDescent="0.25">
      <c r="A41" s="632" t="s">
        <v>12</v>
      </c>
      <c r="B41" s="632"/>
      <c r="C41" s="632"/>
      <c r="D41" s="632"/>
      <c r="E41" s="632"/>
      <c r="F41" s="632"/>
      <c r="G41" s="634">
        <f>SUM(G40:V40)</f>
        <v>2445683980</v>
      </c>
      <c r="H41" s="634"/>
      <c r="I41" s="634"/>
      <c r="J41" s="634"/>
      <c r="K41" s="634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</row>
    <row r="42" spans="1:24" ht="21" customHeight="1" x14ac:dyDescent="0.25">
      <c r="A42" s="127"/>
      <c r="B42" s="127"/>
      <c r="C42" s="127"/>
      <c r="D42" s="127"/>
      <c r="E42" s="127"/>
      <c r="F42" s="127"/>
      <c r="G42" s="126"/>
      <c r="H42" s="127"/>
      <c r="I42" s="127"/>
      <c r="J42" s="127"/>
      <c r="K42" s="127"/>
      <c r="L42" s="126"/>
      <c r="N42" s="127"/>
      <c r="S42" s="127"/>
    </row>
    <row r="43" spans="1:24" ht="12" customHeight="1" x14ac:dyDescent="0.25">
      <c r="G43" s="116" t="e">
        <f>#REF!+#REF!+#REF!+#REF!+G41</f>
        <v>#REF!</v>
      </c>
      <c r="H43" s="313"/>
      <c r="J43" s="314" t="s">
        <v>305</v>
      </c>
      <c r="K43" s="315" t="e">
        <f>#REF!+#REF!</f>
        <v>#REF!</v>
      </c>
    </row>
    <row r="44" spans="1:24" ht="68.25" customHeight="1" x14ac:dyDescent="0.25">
      <c r="G44" s="317">
        <v>1025238397</v>
      </c>
      <c r="H44" s="316" t="s">
        <v>303</v>
      </c>
      <c r="J44" s="314" t="s">
        <v>304</v>
      </c>
      <c r="K44" s="315" t="e">
        <f>#REF!+#REF!+#REF!+#REF!</f>
        <v>#REF!</v>
      </c>
    </row>
    <row r="45" spans="1:24" ht="16.5" customHeight="1" x14ac:dyDescent="0.25">
      <c r="G45" s="124"/>
      <c r="J45" s="320" t="s">
        <v>420</v>
      </c>
    </row>
    <row r="46" spans="1:24" ht="15.75" customHeight="1" x14ac:dyDescent="0.25">
      <c r="G46" s="124"/>
      <c r="J46" s="319" t="s">
        <v>434</v>
      </c>
    </row>
    <row r="47" spans="1:24" x14ac:dyDescent="0.25">
      <c r="B47" s="342"/>
      <c r="E47" s="1"/>
      <c r="G47" s="128"/>
      <c r="J47" s="5"/>
      <c r="M47" s="5"/>
      <c r="O47" s="128"/>
    </row>
    <row r="48" spans="1:24" x14ac:dyDescent="0.25">
      <c r="B48" s="343"/>
      <c r="E48" s="1"/>
      <c r="G48" s="130"/>
      <c r="J48" s="1"/>
      <c r="O48" s="129"/>
      <c r="P48" s="3"/>
    </row>
    <row r="49" spans="2:2" x14ac:dyDescent="0.25">
      <c r="B49" s="36"/>
    </row>
    <row r="50" spans="2:2" x14ac:dyDescent="0.25">
      <c r="B50" s="36"/>
    </row>
    <row r="51" spans="2:2" x14ac:dyDescent="0.25">
      <c r="B51" s="36"/>
    </row>
  </sheetData>
  <mergeCells count="42">
    <mergeCell ref="M40:P40"/>
    <mergeCell ref="A33:F33"/>
    <mergeCell ref="H33:K33"/>
    <mergeCell ref="M33:P33"/>
    <mergeCell ref="R33:U33"/>
    <mergeCell ref="A34:V34"/>
    <mergeCell ref="A35:V35"/>
    <mergeCell ref="A39:F39"/>
    <mergeCell ref="H39:K39"/>
    <mergeCell ref="M39:P39"/>
    <mergeCell ref="R39:U39"/>
    <mergeCell ref="A41:F41"/>
    <mergeCell ref="H40:K40"/>
    <mergeCell ref="A40:F40"/>
    <mergeCell ref="A1:V1"/>
    <mergeCell ref="A2:V2"/>
    <mergeCell ref="A3:V3"/>
    <mergeCell ref="A4:V4"/>
    <mergeCell ref="A5:V5"/>
    <mergeCell ref="R40:U40"/>
    <mergeCell ref="G41:V41"/>
    <mergeCell ref="A6:V6"/>
    <mergeCell ref="A7:V7"/>
    <mergeCell ref="A18:F18"/>
    <mergeCell ref="H18:K18"/>
    <mergeCell ref="M18:P18"/>
    <mergeCell ref="R18:U18"/>
    <mergeCell ref="A21:V21"/>
    <mergeCell ref="A29:V29"/>
    <mergeCell ref="A36:V36"/>
    <mergeCell ref="A13:A14"/>
    <mergeCell ref="A8:V8"/>
    <mergeCell ref="A11:V11"/>
    <mergeCell ref="A15:V15"/>
    <mergeCell ref="A19:V19"/>
    <mergeCell ref="A20:V20"/>
    <mergeCell ref="A26:F26"/>
    <mergeCell ref="H26:K26"/>
    <mergeCell ref="M26:P26"/>
    <mergeCell ref="R26:U26"/>
    <mergeCell ref="A28:V28"/>
    <mergeCell ref="A27:V27"/>
  </mergeCells>
  <printOptions horizontalCentered="1" verticalCentered="1"/>
  <pageMargins left="0.70866141732283472" right="0.9055118110236221" top="0.74803149606299213" bottom="0.74803149606299213" header="0.31496062992125984" footer="0.31496062992125984"/>
  <pageSetup paperSize="5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8DBA"/>
  </sheetPr>
  <dimension ref="A1:H30"/>
  <sheetViews>
    <sheetView topLeftCell="A5" workbookViewId="0">
      <selection activeCell="A7" sqref="A1:A1048576"/>
    </sheetView>
  </sheetViews>
  <sheetFormatPr baseColWidth="10" defaultRowHeight="15" x14ac:dyDescent="0.25"/>
  <cols>
    <col min="1" max="1" width="6.5703125" style="6" customWidth="1"/>
    <col min="2" max="2" width="60.28515625" style="6" customWidth="1"/>
    <col min="3" max="6" width="19.7109375" style="6" customWidth="1"/>
    <col min="7" max="256" width="11.42578125" style="6"/>
    <col min="257" max="257" width="6.5703125" style="6" customWidth="1"/>
    <col min="258" max="258" width="60.28515625" style="6" customWidth="1"/>
    <col min="259" max="262" width="19.7109375" style="6" customWidth="1"/>
    <col min="263" max="512" width="11.42578125" style="6"/>
    <col min="513" max="513" width="6.5703125" style="6" customWidth="1"/>
    <col min="514" max="514" width="60.28515625" style="6" customWidth="1"/>
    <col min="515" max="518" width="19.7109375" style="6" customWidth="1"/>
    <col min="519" max="768" width="11.42578125" style="6"/>
    <col min="769" max="769" width="6.5703125" style="6" customWidth="1"/>
    <col min="770" max="770" width="60.28515625" style="6" customWidth="1"/>
    <col min="771" max="774" width="19.7109375" style="6" customWidth="1"/>
    <col min="775" max="1024" width="11.42578125" style="6"/>
    <col min="1025" max="1025" width="6.5703125" style="6" customWidth="1"/>
    <col min="1026" max="1026" width="60.28515625" style="6" customWidth="1"/>
    <col min="1027" max="1030" width="19.7109375" style="6" customWidth="1"/>
    <col min="1031" max="1280" width="11.42578125" style="6"/>
    <col min="1281" max="1281" width="6.5703125" style="6" customWidth="1"/>
    <col min="1282" max="1282" width="60.28515625" style="6" customWidth="1"/>
    <col min="1283" max="1286" width="19.7109375" style="6" customWidth="1"/>
    <col min="1287" max="1536" width="11.42578125" style="6"/>
    <col min="1537" max="1537" width="6.5703125" style="6" customWidth="1"/>
    <col min="1538" max="1538" width="60.28515625" style="6" customWidth="1"/>
    <col min="1539" max="1542" width="19.7109375" style="6" customWidth="1"/>
    <col min="1543" max="1792" width="11.42578125" style="6"/>
    <col min="1793" max="1793" width="6.5703125" style="6" customWidth="1"/>
    <col min="1794" max="1794" width="60.28515625" style="6" customWidth="1"/>
    <col min="1795" max="1798" width="19.7109375" style="6" customWidth="1"/>
    <col min="1799" max="2048" width="11.42578125" style="6"/>
    <col min="2049" max="2049" width="6.5703125" style="6" customWidth="1"/>
    <col min="2050" max="2050" width="60.28515625" style="6" customWidth="1"/>
    <col min="2051" max="2054" width="19.7109375" style="6" customWidth="1"/>
    <col min="2055" max="2304" width="11.42578125" style="6"/>
    <col min="2305" max="2305" width="6.5703125" style="6" customWidth="1"/>
    <col min="2306" max="2306" width="60.28515625" style="6" customWidth="1"/>
    <col min="2307" max="2310" width="19.7109375" style="6" customWidth="1"/>
    <col min="2311" max="2560" width="11.42578125" style="6"/>
    <col min="2561" max="2561" width="6.5703125" style="6" customWidth="1"/>
    <col min="2562" max="2562" width="60.28515625" style="6" customWidth="1"/>
    <col min="2563" max="2566" width="19.7109375" style="6" customWidth="1"/>
    <col min="2567" max="2816" width="11.42578125" style="6"/>
    <col min="2817" max="2817" width="6.5703125" style="6" customWidth="1"/>
    <col min="2818" max="2818" width="60.28515625" style="6" customWidth="1"/>
    <col min="2819" max="2822" width="19.7109375" style="6" customWidth="1"/>
    <col min="2823" max="3072" width="11.42578125" style="6"/>
    <col min="3073" max="3073" width="6.5703125" style="6" customWidth="1"/>
    <col min="3074" max="3074" width="60.28515625" style="6" customWidth="1"/>
    <col min="3075" max="3078" width="19.7109375" style="6" customWidth="1"/>
    <col min="3079" max="3328" width="11.42578125" style="6"/>
    <col min="3329" max="3329" width="6.5703125" style="6" customWidth="1"/>
    <col min="3330" max="3330" width="60.28515625" style="6" customWidth="1"/>
    <col min="3331" max="3334" width="19.7109375" style="6" customWidth="1"/>
    <col min="3335" max="3584" width="11.42578125" style="6"/>
    <col min="3585" max="3585" width="6.5703125" style="6" customWidth="1"/>
    <col min="3586" max="3586" width="60.28515625" style="6" customWidth="1"/>
    <col min="3587" max="3590" width="19.7109375" style="6" customWidth="1"/>
    <col min="3591" max="3840" width="11.42578125" style="6"/>
    <col min="3841" max="3841" width="6.5703125" style="6" customWidth="1"/>
    <col min="3842" max="3842" width="60.28515625" style="6" customWidth="1"/>
    <col min="3843" max="3846" width="19.7109375" style="6" customWidth="1"/>
    <col min="3847" max="4096" width="11.42578125" style="6"/>
    <col min="4097" max="4097" width="6.5703125" style="6" customWidth="1"/>
    <col min="4098" max="4098" width="60.28515625" style="6" customWidth="1"/>
    <col min="4099" max="4102" width="19.7109375" style="6" customWidth="1"/>
    <col min="4103" max="4352" width="11.42578125" style="6"/>
    <col min="4353" max="4353" width="6.5703125" style="6" customWidth="1"/>
    <col min="4354" max="4354" width="60.28515625" style="6" customWidth="1"/>
    <col min="4355" max="4358" width="19.7109375" style="6" customWidth="1"/>
    <col min="4359" max="4608" width="11.42578125" style="6"/>
    <col min="4609" max="4609" width="6.5703125" style="6" customWidth="1"/>
    <col min="4610" max="4610" width="60.28515625" style="6" customWidth="1"/>
    <col min="4611" max="4614" width="19.7109375" style="6" customWidth="1"/>
    <col min="4615" max="4864" width="11.42578125" style="6"/>
    <col min="4865" max="4865" width="6.5703125" style="6" customWidth="1"/>
    <col min="4866" max="4866" width="60.28515625" style="6" customWidth="1"/>
    <col min="4867" max="4870" width="19.7109375" style="6" customWidth="1"/>
    <col min="4871" max="5120" width="11.42578125" style="6"/>
    <col min="5121" max="5121" width="6.5703125" style="6" customWidth="1"/>
    <col min="5122" max="5122" width="60.28515625" style="6" customWidth="1"/>
    <col min="5123" max="5126" width="19.7109375" style="6" customWidth="1"/>
    <col min="5127" max="5376" width="11.42578125" style="6"/>
    <col min="5377" max="5377" width="6.5703125" style="6" customWidth="1"/>
    <col min="5378" max="5378" width="60.28515625" style="6" customWidth="1"/>
    <col min="5379" max="5382" width="19.7109375" style="6" customWidth="1"/>
    <col min="5383" max="5632" width="11.42578125" style="6"/>
    <col min="5633" max="5633" width="6.5703125" style="6" customWidth="1"/>
    <col min="5634" max="5634" width="60.28515625" style="6" customWidth="1"/>
    <col min="5635" max="5638" width="19.7109375" style="6" customWidth="1"/>
    <col min="5639" max="5888" width="11.42578125" style="6"/>
    <col min="5889" max="5889" width="6.5703125" style="6" customWidth="1"/>
    <col min="5890" max="5890" width="60.28515625" style="6" customWidth="1"/>
    <col min="5891" max="5894" width="19.7109375" style="6" customWidth="1"/>
    <col min="5895" max="6144" width="11.42578125" style="6"/>
    <col min="6145" max="6145" width="6.5703125" style="6" customWidth="1"/>
    <col min="6146" max="6146" width="60.28515625" style="6" customWidth="1"/>
    <col min="6147" max="6150" width="19.7109375" style="6" customWidth="1"/>
    <col min="6151" max="6400" width="11.42578125" style="6"/>
    <col min="6401" max="6401" width="6.5703125" style="6" customWidth="1"/>
    <col min="6402" max="6402" width="60.28515625" style="6" customWidth="1"/>
    <col min="6403" max="6406" width="19.7109375" style="6" customWidth="1"/>
    <col min="6407" max="6656" width="11.42578125" style="6"/>
    <col min="6657" max="6657" width="6.5703125" style="6" customWidth="1"/>
    <col min="6658" max="6658" width="60.28515625" style="6" customWidth="1"/>
    <col min="6659" max="6662" width="19.7109375" style="6" customWidth="1"/>
    <col min="6663" max="6912" width="11.42578125" style="6"/>
    <col min="6913" max="6913" width="6.5703125" style="6" customWidth="1"/>
    <col min="6914" max="6914" width="60.28515625" style="6" customWidth="1"/>
    <col min="6915" max="6918" width="19.7109375" style="6" customWidth="1"/>
    <col min="6919" max="7168" width="11.42578125" style="6"/>
    <col min="7169" max="7169" width="6.5703125" style="6" customWidth="1"/>
    <col min="7170" max="7170" width="60.28515625" style="6" customWidth="1"/>
    <col min="7171" max="7174" width="19.7109375" style="6" customWidth="1"/>
    <col min="7175" max="7424" width="11.42578125" style="6"/>
    <col min="7425" max="7425" width="6.5703125" style="6" customWidth="1"/>
    <col min="7426" max="7426" width="60.28515625" style="6" customWidth="1"/>
    <col min="7427" max="7430" width="19.7109375" style="6" customWidth="1"/>
    <col min="7431" max="7680" width="11.42578125" style="6"/>
    <col min="7681" max="7681" width="6.5703125" style="6" customWidth="1"/>
    <col min="7682" max="7682" width="60.28515625" style="6" customWidth="1"/>
    <col min="7683" max="7686" width="19.7109375" style="6" customWidth="1"/>
    <col min="7687" max="7936" width="11.42578125" style="6"/>
    <col min="7937" max="7937" width="6.5703125" style="6" customWidth="1"/>
    <col min="7938" max="7938" width="60.28515625" style="6" customWidth="1"/>
    <col min="7939" max="7942" width="19.7109375" style="6" customWidth="1"/>
    <col min="7943" max="8192" width="11.42578125" style="6"/>
    <col min="8193" max="8193" width="6.5703125" style="6" customWidth="1"/>
    <col min="8194" max="8194" width="60.28515625" style="6" customWidth="1"/>
    <col min="8195" max="8198" width="19.7109375" style="6" customWidth="1"/>
    <col min="8199" max="8448" width="11.42578125" style="6"/>
    <col min="8449" max="8449" width="6.5703125" style="6" customWidth="1"/>
    <col min="8450" max="8450" width="60.28515625" style="6" customWidth="1"/>
    <col min="8451" max="8454" width="19.7109375" style="6" customWidth="1"/>
    <col min="8455" max="8704" width="11.42578125" style="6"/>
    <col min="8705" max="8705" width="6.5703125" style="6" customWidth="1"/>
    <col min="8706" max="8706" width="60.28515625" style="6" customWidth="1"/>
    <col min="8707" max="8710" width="19.7109375" style="6" customWidth="1"/>
    <col min="8711" max="8960" width="11.42578125" style="6"/>
    <col min="8961" max="8961" width="6.5703125" style="6" customWidth="1"/>
    <col min="8962" max="8962" width="60.28515625" style="6" customWidth="1"/>
    <col min="8963" max="8966" width="19.7109375" style="6" customWidth="1"/>
    <col min="8967" max="9216" width="11.42578125" style="6"/>
    <col min="9217" max="9217" width="6.5703125" style="6" customWidth="1"/>
    <col min="9218" max="9218" width="60.28515625" style="6" customWidth="1"/>
    <col min="9219" max="9222" width="19.7109375" style="6" customWidth="1"/>
    <col min="9223" max="9472" width="11.42578125" style="6"/>
    <col min="9473" max="9473" width="6.5703125" style="6" customWidth="1"/>
    <col min="9474" max="9474" width="60.28515625" style="6" customWidth="1"/>
    <col min="9475" max="9478" width="19.7109375" style="6" customWidth="1"/>
    <col min="9479" max="9728" width="11.42578125" style="6"/>
    <col min="9729" max="9729" width="6.5703125" style="6" customWidth="1"/>
    <col min="9730" max="9730" width="60.28515625" style="6" customWidth="1"/>
    <col min="9731" max="9734" width="19.7109375" style="6" customWidth="1"/>
    <col min="9735" max="9984" width="11.42578125" style="6"/>
    <col min="9985" max="9985" width="6.5703125" style="6" customWidth="1"/>
    <col min="9986" max="9986" width="60.28515625" style="6" customWidth="1"/>
    <col min="9987" max="9990" width="19.7109375" style="6" customWidth="1"/>
    <col min="9991" max="10240" width="11.42578125" style="6"/>
    <col min="10241" max="10241" width="6.5703125" style="6" customWidth="1"/>
    <col min="10242" max="10242" width="60.28515625" style="6" customWidth="1"/>
    <col min="10243" max="10246" width="19.7109375" style="6" customWidth="1"/>
    <col min="10247" max="10496" width="11.42578125" style="6"/>
    <col min="10497" max="10497" width="6.5703125" style="6" customWidth="1"/>
    <col min="10498" max="10498" width="60.28515625" style="6" customWidth="1"/>
    <col min="10499" max="10502" width="19.7109375" style="6" customWidth="1"/>
    <col min="10503" max="10752" width="11.42578125" style="6"/>
    <col min="10753" max="10753" width="6.5703125" style="6" customWidth="1"/>
    <col min="10754" max="10754" width="60.28515625" style="6" customWidth="1"/>
    <col min="10755" max="10758" width="19.7109375" style="6" customWidth="1"/>
    <col min="10759" max="11008" width="11.42578125" style="6"/>
    <col min="11009" max="11009" width="6.5703125" style="6" customWidth="1"/>
    <col min="11010" max="11010" width="60.28515625" style="6" customWidth="1"/>
    <col min="11011" max="11014" width="19.7109375" style="6" customWidth="1"/>
    <col min="11015" max="11264" width="11.42578125" style="6"/>
    <col min="11265" max="11265" width="6.5703125" style="6" customWidth="1"/>
    <col min="11266" max="11266" width="60.28515625" style="6" customWidth="1"/>
    <col min="11267" max="11270" width="19.7109375" style="6" customWidth="1"/>
    <col min="11271" max="11520" width="11.42578125" style="6"/>
    <col min="11521" max="11521" width="6.5703125" style="6" customWidth="1"/>
    <col min="11522" max="11522" width="60.28515625" style="6" customWidth="1"/>
    <col min="11523" max="11526" width="19.7109375" style="6" customWidth="1"/>
    <col min="11527" max="11776" width="11.42578125" style="6"/>
    <col min="11777" max="11777" width="6.5703125" style="6" customWidth="1"/>
    <col min="11778" max="11778" width="60.28515625" style="6" customWidth="1"/>
    <col min="11779" max="11782" width="19.7109375" style="6" customWidth="1"/>
    <col min="11783" max="12032" width="11.42578125" style="6"/>
    <col min="12033" max="12033" width="6.5703125" style="6" customWidth="1"/>
    <col min="12034" max="12034" width="60.28515625" style="6" customWidth="1"/>
    <col min="12035" max="12038" width="19.7109375" style="6" customWidth="1"/>
    <col min="12039" max="12288" width="11.42578125" style="6"/>
    <col min="12289" max="12289" width="6.5703125" style="6" customWidth="1"/>
    <col min="12290" max="12290" width="60.28515625" style="6" customWidth="1"/>
    <col min="12291" max="12294" width="19.7109375" style="6" customWidth="1"/>
    <col min="12295" max="12544" width="11.42578125" style="6"/>
    <col min="12545" max="12545" width="6.5703125" style="6" customWidth="1"/>
    <col min="12546" max="12546" width="60.28515625" style="6" customWidth="1"/>
    <col min="12547" max="12550" width="19.7109375" style="6" customWidth="1"/>
    <col min="12551" max="12800" width="11.42578125" style="6"/>
    <col min="12801" max="12801" width="6.5703125" style="6" customWidth="1"/>
    <col min="12802" max="12802" width="60.28515625" style="6" customWidth="1"/>
    <col min="12803" max="12806" width="19.7109375" style="6" customWidth="1"/>
    <col min="12807" max="13056" width="11.42578125" style="6"/>
    <col min="13057" max="13057" width="6.5703125" style="6" customWidth="1"/>
    <col min="13058" max="13058" width="60.28515625" style="6" customWidth="1"/>
    <col min="13059" max="13062" width="19.7109375" style="6" customWidth="1"/>
    <col min="13063" max="13312" width="11.42578125" style="6"/>
    <col min="13313" max="13313" width="6.5703125" style="6" customWidth="1"/>
    <col min="13314" max="13314" width="60.28515625" style="6" customWidth="1"/>
    <col min="13315" max="13318" width="19.7109375" style="6" customWidth="1"/>
    <col min="13319" max="13568" width="11.42578125" style="6"/>
    <col min="13569" max="13569" width="6.5703125" style="6" customWidth="1"/>
    <col min="13570" max="13570" width="60.28515625" style="6" customWidth="1"/>
    <col min="13571" max="13574" width="19.7109375" style="6" customWidth="1"/>
    <col min="13575" max="13824" width="11.42578125" style="6"/>
    <col min="13825" max="13825" width="6.5703125" style="6" customWidth="1"/>
    <col min="13826" max="13826" width="60.28515625" style="6" customWidth="1"/>
    <col min="13827" max="13830" width="19.7109375" style="6" customWidth="1"/>
    <col min="13831" max="14080" width="11.42578125" style="6"/>
    <col min="14081" max="14081" width="6.5703125" style="6" customWidth="1"/>
    <col min="14082" max="14082" width="60.28515625" style="6" customWidth="1"/>
    <col min="14083" max="14086" width="19.7109375" style="6" customWidth="1"/>
    <col min="14087" max="14336" width="11.42578125" style="6"/>
    <col min="14337" max="14337" width="6.5703125" style="6" customWidth="1"/>
    <col min="14338" max="14338" width="60.28515625" style="6" customWidth="1"/>
    <col min="14339" max="14342" width="19.7109375" style="6" customWidth="1"/>
    <col min="14343" max="14592" width="11.42578125" style="6"/>
    <col min="14593" max="14593" width="6.5703125" style="6" customWidth="1"/>
    <col min="14594" max="14594" width="60.28515625" style="6" customWidth="1"/>
    <col min="14595" max="14598" width="19.7109375" style="6" customWidth="1"/>
    <col min="14599" max="14848" width="11.42578125" style="6"/>
    <col min="14849" max="14849" width="6.5703125" style="6" customWidth="1"/>
    <col min="14850" max="14850" width="60.28515625" style="6" customWidth="1"/>
    <col min="14851" max="14854" width="19.7109375" style="6" customWidth="1"/>
    <col min="14855" max="15104" width="11.42578125" style="6"/>
    <col min="15105" max="15105" width="6.5703125" style="6" customWidth="1"/>
    <col min="15106" max="15106" width="60.28515625" style="6" customWidth="1"/>
    <col min="15107" max="15110" width="19.7109375" style="6" customWidth="1"/>
    <col min="15111" max="15360" width="11.42578125" style="6"/>
    <col min="15361" max="15361" width="6.5703125" style="6" customWidth="1"/>
    <col min="15362" max="15362" width="60.28515625" style="6" customWidth="1"/>
    <col min="15363" max="15366" width="19.7109375" style="6" customWidth="1"/>
    <col min="15367" max="15616" width="11.42578125" style="6"/>
    <col min="15617" max="15617" width="6.5703125" style="6" customWidth="1"/>
    <col min="15618" max="15618" width="60.28515625" style="6" customWidth="1"/>
    <col min="15619" max="15622" width="19.7109375" style="6" customWidth="1"/>
    <col min="15623" max="15872" width="11.42578125" style="6"/>
    <col min="15873" max="15873" width="6.5703125" style="6" customWidth="1"/>
    <col min="15874" max="15874" width="60.28515625" style="6" customWidth="1"/>
    <col min="15875" max="15878" width="19.7109375" style="6" customWidth="1"/>
    <col min="15879" max="16128" width="11.42578125" style="6"/>
    <col min="16129" max="16129" width="6.5703125" style="6" customWidth="1"/>
    <col min="16130" max="16130" width="60.28515625" style="6" customWidth="1"/>
    <col min="16131" max="16134" width="19.7109375" style="6" customWidth="1"/>
    <col min="16135" max="16384" width="11.42578125" style="6"/>
  </cols>
  <sheetData>
    <row r="1" spans="1:8" ht="27" customHeight="1" x14ac:dyDescent="0.25">
      <c r="A1" s="635" t="s">
        <v>406</v>
      </c>
      <c r="B1" s="635"/>
      <c r="C1" s="635"/>
      <c r="D1" s="635"/>
      <c r="E1" s="635"/>
      <c r="F1" s="635"/>
    </row>
    <row r="2" spans="1:8" ht="21" customHeight="1" x14ac:dyDescent="0.25">
      <c r="A2" s="636" t="s">
        <v>391</v>
      </c>
      <c r="B2" s="636"/>
      <c r="C2" s="636"/>
      <c r="D2" s="636"/>
      <c r="E2" s="636"/>
      <c r="F2" s="636"/>
    </row>
    <row r="3" spans="1:8" s="1" customFormat="1" ht="17.25" customHeight="1" x14ac:dyDescent="0.25">
      <c r="A3" s="637" t="s">
        <v>323</v>
      </c>
      <c r="B3" s="638"/>
      <c r="C3" s="638"/>
      <c r="D3" s="638"/>
      <c r="E3" s="638"/>
      <c r="F3" s="639"/>
      <c r="H3" s="522"/>
    </row>
    <row r="4" spans="1:8" s="1" customFormat="1" ht="17.25" customHeight="1" x14ac:dyDescent="0.25">
      <c r="A4" s="637" t="s">
        <v>324</v>
      </c>
      <c r="B4" s="638"/>
      <c r="C4" s="638"/>
      <c r="D4" s="638"/>
      <c r="E4" s="638"/>
      <c r="F4" s="639"/>
      <c r="H4" s="522"/>
    </row>
    <row r="5" spans="1:8" s="1" customFormat="1" ht="17.25" customHeight="1" x14ac:dyDescent="0.25">
      <c r="A5" s="637" t="s">
        <v>325</v>
      </c>
      <c r="B5" s="638"/>
      <c r="C5" s="638"/>
      <c r="D5" s="638"/>
      <c r="E5" s="638"/>
      <c r="F5" s="639"/>
      <c r="H5" s="522"/>
    </row>
    <row r="6" spans="1:8" ht="15.75" x14ac:dyDescent="0.25">
      <c r="A6" s="611" t="s">
        <v>349</v>
      </c>
      <c r="B6" s="611"/>
      <c r="C6" s="611"/>
      <c r="D6" s="611"/>
      <c r="E6" s="611"/>
      <c r="F6" s="611"/>
    </row>
    <row r="7" spans="1:8" x14ac:dyDescent="0.25">
      <c r="A7" s="512" t="s">
        <v>5</v>
      </c>
      <c r="B7" s="521" t="s">
        <v>4</v>
      </c>
      <c r="C7" s="520" t="s">
        <v>294</v>
      </c>
      <c r="D7" s="520" t="s">
        <v>321</v>
      </c>
      <c r="E7" s="520" t="s">
        <v>322</v>
      </c>
      <c r="F7" s="520" t="s">
        <v>331</v>
      </c>
    </row>
    <row r="8" spans="1:8" ht="33" customHeight="1" x14ac:dyDescent="0.25">
      <c r="A8" s="519">
        <v>1</v>
      </c>
      <c r="B8" s="518" t="s">
        <v>409</v>
      </c>
      <c r="C8" s="517">
        <f>'Ppto Detallado 2016-2019'!G18</f>
        <v>60300012</v>
      </c>
      <c r="D8" s="517">
        <f>'Ppto Detallado 2016-2019'!L18</f>
        <v>193809013</v>
      </c>
      <c r="E8" s="517">
        <f>'Ppto Detallado 2016-2019'!Q18</f>
        <v>207375644</v>
      </c>
      <c r="F8" s="517">
        <f>'Ppto Detallado 2016-2019'!V18</f>
        <v>225040414</v>
      </c>
    </row>
    <row r="9" spans="1:8" ht="15" customHeight="1" x14ac:dyDescent="0.25">
      <c r="A9" s="611" t="s">
        <v>351</v>
      </c>
      <c r="B9" s="611"/>
      <c r="C9" s="611"/>
      <c r="D9" s="611"/>
      <c r="E9" s="611"/>
      <c r="F9" s="611"/>
    </row>
    <row r="10" spans="1:8" x14ac:dyDescent="0.25">
      <c r="A10" s="512" t="s">
        <v>5</v>
      </c>
      <c r="B10" s="521" t="s">
        <v>4</v>
      </c>
      <c r="C10" s="520" t="s">
        <v>294</v>
      </c>
      <c r="D10" s="520" t="s">
        <v>321</v>
      </c>
      <c r="E10" s="520" t="s">
        <v>322</v>
      </c>
      <c r="F10" s="520" t="s">
        <v>331</v>
      </c>
    </row>
    <row r="11" spans="1:8" ht="30.75" customHeight="1" x14ac:dyDescent="0.25">
      <c r="A11" s="519">
        <v>2</v>
      </c>
      <c r="B11" s="518" t="s">
        <v>408</v>
      </c>
      <c r="C11" s="517">
        <f>'Ppto Detallado 2016-2019'!G26</f>
        <v>290254222</v>
      </c>
      <c r="D11" s="517">
        <f>'Ppto Detallado 2016-2019'!L26</f>
        <v>129939081</v>
      </c>
      <c r="E11" s="517">
        <f>'Ppto Detallado 2016-2019'!Q26</f>
        <v>139034817</v>
      </c>
      <c r="F11" s="517">
        <f>'Ppto Detallado 2016-2019'!V26</f>
        <v>148767254</v>
      </c>
    </row>
    <row r="12" spans="1:8" ht="15.75" x14ac:dyDescent="0.25">
      <c r="A12" s="611" t="s">
        <v>410</v>
      </c>
      <c r="B12" s="611"/>
      <c r="C12" s="611"/>
      <c r="D12" s="611"/>
      <c r="E12" s="611"/>
      <c r="F12" s="611"/>
    </row>
    <row r="13" spans="1:8" x14ac:dyDescent="0.25">
      <c r="A13" s="512" t="s">
        <v>5</v>
      </c>
      <c r="B13" s="521" t="s">
        <v>4</v>
      </c>
      <c r="C13" s="520" t="s">
        <v>294</v>
      </c>
      <c r="D13" s="520" t="s">
        <v>321</v>
      </c>
      <c r="E13" s="520" t="s">
        <v>322</v>
      </c>
      <c r="F13" s="520" t="s">
        <v>331</v>
      </c>
    </row>
    <row r="14" spans="1:8" ht="32.25" customHeight="1" x14ac:dyDescent="0.25">
      <c r="A14" s="519">
        <v>3</v>
      </c>
      <c r="B14" s="518" t="s">
        <v>441</v>
      </c>
      <c r="C14" s="517">
        <f>'Ppto Detallado 2016-2019'!G33</f>
        <v>0</v>
      </c>
      <c r="D14" s="517">
        <f>'Ppto Detallado 2016-2019'!L33</f>
        <v>275976260</v>
      </c>
      <c r="E14" s="517">
        <f>'Ppto Detallado 2016-2019'!Q33</f>
        <v>295294598</v>
      </c>
      <c r="F14" s="517">
        <f>'Ppto Detallado 2016-2019'!V33</f>
        <v>315965220</v>
      </c>
    </row>
    <row r="15" spans="1:8" ht="15.75" x14ac:dyDescent="0.25">
      <c r="A15" s="611" t="s">
        <v>415</v>
      </c>
      <c r="B15" s="611"/>
      <c r="C15" s="611"/>
      <c r="D15" s="611"/>
      <c r="E15" s="611"/>
      <c r="F15" s="611"/>
    </row>
    <row r="16" spans="1:8" x14ac:dyDescent="0.25">
      <c r="A16" s="512" t="s">
        <v>5</v>
      </c>
      <c r="B16" s="521" t="s">
        <v>4</v>
      </c>
      <c r="C16" s="520" t="s">
        <v>294</v>
      </c>
      <c r="D16" s="520" t="s">
        <v>321</v>
      </c>
      <c r="E16" s="520" t="s">
        <v>322</v>
      </c>
      <c r="F16" s="520" t="s">
        <v>331</v>
      </c>
    </row>
    <row r="17" spans="1:6" ht="33" customHeight="1" x14ac:dyDescent="0.25">
      <c r="A17" s="519">
        <v>7</v>
      </c>
      <c r="B17" s="518" t="s">
        <v>433</v>
      </c>
      <c r="C17" s="517">
        <f>'Ppto Detallado 2016-2019'!G39</f>
        <v>0</v>
      </c>
      <c r="D17" s="517">
        <f>'Ppto Detallado 2016-2019'!L39</f>
        <v>50989905</v>
      </c>
      <c r="E17" s="517">
        <f>'Ppto Detallado 2016-2019'!Q39</f>
        <v>54559198</v>
      </c>
      <c r="F17" s="517">
        <f>'Ppto Detallado 2016-2019'!V39</f>
        <v>58378342</v>
      </c>
    </row>
    <row r="18" spans="1:6" x14ac:dyDescent="0.25">
      <c r="A18" s="640" t="s">
        <v>6</v>
      </c>
      <c r="B18" s="640"/>
      <c r="C18" s="516">
        <f>ROUND(SUM(C8:C17),0)</f>
        <v>350554234</v>
      </c>
      <c r="D18" s="516">
        <f t="shared" ref="D18:F18" si="0">ROUND(SUM(D8:D17),0)</f>
        <v>650714259</v>
      </c>
      <c r="E18" s="516">
        <f t="shared" si="0"/>
        <v>696264257</v>
      </c>
      <c r="F18" s="516">
        <f t="shared" si="0"/>
        <v>748151230</v>
      </c>
    </row>
    <row r="19" spans="1:6" x14ac:dyDescent="0.25">
      <c r="A19" s="641" t="s">
        <v>301</v>
      </c>
      <c r="B19" s="641"/>
      <c r="C19" s="641"/>
      <c r="D19" s="641"/>
      <c r="E19" s="641"/>
      <c r="F19" s="515">
        <f>+SUM(C18:F18)</f>
        <v>2445683980</v>
      </c>
    </row>
    <row r="21" spans="1:6" ht="77.25" customHeight="1" x14ac:dyDescent="0.25">
      <c r="A21" s="1"/>
      <c r="B21" s="1"/>
      <c r="C21" s="2"/>
      <c r="D21" s="3"/>
      <c r="E21" s="116"/>
      <c r="F21" s="313"/>
    </row>
    <row r="22" spans="1:6" ht="15.75" x14ac:dyDescent="0.25">
      <c r="A22" s="1"/>
      <c r="B22" s="1"/>
      <c r="C22" s="320" t="s">
        <v>420</v>
      </c>
      <c r="E22" s="514"/>
      <c r="F22" s="514"/>
    </row>
    <row r="23" spans="1:6" x14ac:dyDescent="0.25">
      <c r="A23" s="1"/>
      <c r="B23" s="1"/>
      <c r="C23" s="319" t="s">
        <v>434</v>
      </c>
      <c r="D23" s="514"/>
      <c r="E23" s="514"/>
      <c r="F23" s="514"/>
    </row>
    <row r="24" spans="1:6" s="1" customFormat="1" ht="12.75" x14ac:dyDescent="0.25">
      <c r="A24" s="128"/>
      <c r="C24" s="2"/>
      <c r="D24" s="3"/>
    </row>
    <row r="25" spans="1:6" s="1" customFormat="1" ht="12.75" x14ac:dyDescent="0.25">
      <c r="A25" s="513"/>
      <c r="C25" s="2"/>
      <c r="D25" s="3"/>
    </row>
    <row r="26" spans="1:6" x14ac:dyDescent="0.25">
      <c r="B26" s="1"/>
    </row>
    <row r="27" spans="1:6" x14ac:dyDescent="0.25">
      <c r="B27" s="1"/>
    </row>
    <row r="28" spans="1:6" x14ac:dyDescent="0.25">
      <c r="B28" s="1"/>
    </row>
    <row r="29" spans="1:6" x14ac:dyDescent="0.25">
      <c r="B29" s="1"/>
    </row>
    <row r="30" spans="1:6" x14ac:dyDescent="0.25">
      <c r="B30" s="1"/>
    </row>
  </sheetData>
  <mergeCells count="11">
    <mergeCell ref="A18:B18"/>
    <mergeCell ref="A19:E19"/>
    <mergeCell ref="A9:F9"/>
    <mergeCell ref="A12:F12"/>
    <mergeCell ref="A6:F6"/>
    <mergeCell ref="A15:F15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44A"/>
  </sheetPr>
  <dimension ref="A1:Q52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6.28515625" style="6" customWidth="1"/>
    <col min="2" max="2" width="57.140625" style="6" customWidth="1"/>
    <col min="3" max="3" width="10.7109375" style="6" customWidth="1"/>
    <col min="4" max="15" width="7.7109375" style="6" customWidth="1"/>
    <col min="16" max="253" width="11.42578125" style="6"/>
    <col min="254" max="254" width="6.28515625" style="6" customWidth="1"/>
    <col min="255" max="255" width="45" style="6" customWidth="1"/>
    <col min="256" max="256" width="10.7109375" style="6" customWidth="1"/>
    <col min="257" max="268" width="8.140625" style="6" customWidth="1"/>
    <col min="269" max="509" width="11.42578125" style="6"/>
    <col min="510" max="510" width="6.28515625" style="6" customWidth="1"/>
    <col min="511" max="511" width="45" style="6" customWidth="1"/>
    <col min="512" max="512" width="10.7109375" style="6" customWidth="1"/>
    <col min="513" max="524" width="8.140625" style="6" customWidth="1"/>
    <col min="525" max="765" width="11.42578125" style="6"/>
    <col min="766" max="766" width="6.28515625" style="6" customWidth="1"/>
    <col min="767" max="767" width="45" style="6" customWidth="1"/>
    <col min="768" max="768" width="10.7109375" style="6" customWidth="1"/>
    <col min="769" max="780" width="8.140625" style="6" customWidth="1"/>
    <col min="781" max="1021" width="11.42578125" style="6"/>
    <col min="1022" max="1022" width="6.28515625" style="6" customWidth="1"/>
    <col min="1023" max="1023" width="45" style="6" customWidth="1"/>
    <col min="1024" max="1024" width="10.7109375" style="6" customWidth="1"/>
    <col min="1025" max="1036" width="8.140625" style="6" customWidth="1"/>
    <col min="1037" max="1277" width="11.42578125" style="6"/>
    <col min="1278" max="1278" width="6.28515625" style="6" customWidth="1"/>
    <col min="1279" max="1279" width="45" style="6" customWidth="1"/>
    <col min="1280" max="1280" width="10.7109375" style="6" customWidth="1"/>
    <col min="1281" max="1292" width="8.140625" style="6" customWidth="1"/>
    <col min="1293" max="1533" width="11.42578125" style="6"/>
    <col min="1534" max="1534" width="6.28515625" style="6" customWidth="1"/>
    <col min="1535" max="1535" width="45" style="6" customWidth="1"/>
    <col min="1536" max="1536" width="10.7109375" style="6" customWidth="1"/>
    <col min="1537" max="1548" width="8.140625" style="6" customWidth="1"/>
    <col min="1549" max="1789" width="11.42578125" style="6"/>
    <col min="1790" max="1790" width="6.28515625" style="6" customWidth="1"/>
    <col min="1791" max="1791" width="45" style="6" customWidth="1"/>
    <col min="1792" max="1792" width="10.7109375" style="6" customWidth="1"/>
    <col min="1793" max="1804" width="8.140625" style="6" customWidth="1"/>
    <col min="1805" max="2045" width="11.42578125" style="6"/>
    <col min="2046" max="2046" width="6.28515625" style="6" customWidth="1"/>
    <col min="2047" max="2047" width="45" style="6" customWidth="1"/>
    <col min="2048" max="2048" width="10.7109375" style="6" customWidth="1"/>
    <col min="2049" max="2060" width="8.140625" style="6" customWidth="1"/>
    <col min="2061" max="2301" width="11.42578125" style="6"/>
    <col min="2302" max="2302" width="6.28515625" style="6" customWidth="1"/>
    <col min="2303" max="2303" width="45" style="6" customWidth="1"/>
    <col min="2304" max="2304" width="10.7109375" style="6" customWidth="1"/>
    <col min="2305" max="2316" width="8.140625" style="6" customWidth="1"/>
    <col min="2317" max="2557" width="11.42578125" style="6"/>
    <col min="2558" max="2558" width="6.28515625" style="6" customWidth="1"/>
    <col min="2559" max="2559" width="45" style="6" customWidth="1"/>
    <col min="2560" max="2560" width="10.7109375" style="6" customWidth="1"/>
    <col min="2561" max="2572" width="8.140625" style="6" customWidth="1"/>
    <col min="2573" max="2813" width="11.42578125" style="6"/>
    <col min="2814" max="2814" width="6.28515625" style="6" customWidth="1"/>
    <col min="2815" max="2815" width="45" style="6" customWidth="1"/>
    <col min="2816" max="2816" width="10.7109375" style="6" customWidth="1"/>
    <col min="2817" max="2828" width="8.140625" style="6" customWidth="1"/>
    <col min="2829" max="3069" width="11.42578125" style="6"/>
    <col min="3070" max="3070" width="6.28515625" style="6" customWidth="1"/>
    <col min="3071" max="3071" width="45" style="6" customWidth="1"/>
    <col min="3072" max="3072" width="10.7109375" style="6" customWidth="1"/>
    <col min="3073" max="3084" width="8.140625" style="6" customWidth="1"/>
    <col min="3085" max="3325" width="11.42578125" style="6"/>
    <col min="3326" max="3326" width="6.28515625" style="6" customWidth="1"/>
    <col min="3327" max="3327" width="45" style="6" customWidth="1"/>
    <col min="3328" max="3328" width="10.7109375" style="6" customWidth="1"/>
    <col min="3329" max="3340" width="8.140625" style="6" customWidth="1"/>
    <col min="3341" max="3581" width="11.42578125" style="6"/>
    <col min="3582" max="3582" width="6.28515625" style="6" customWidth="1"/>
    <col min="3583" max="3583" width="45" style="6" customWidth="1"/>
    <col min="3584" max="3584" width="10.7109375" style="6" customWidth="1"/>
    <col min="3585" max="3596" width="8.140625" style="6" customWidth="1"/>
    <col min="3597" max="3837" width="11.42578125" style="6"/>
    <col min="3838" max="3838" width="6.28515625" style="6" customWidth="1"/>
    <col min="3839" max="3839" width="45" style="6" customWidth="1"/>
    <col min="3840" max="3840" width="10.7109375" style="6" customWidth="1"/>
    <col min="3841" max="3852" width="8.140625" style="6" customWidth="1"/>
    <col min="3853" max="4093" width="11.42578125" style="6"/>
    <col min="4094" max="4094" width="6.28515625" style="6" customWidth="1"/>
    <col min="4095" max="4095" width="45" style="6" customWidth="1"/>
    <col min="4096" max="4096" width="10.7109375" style="6" customWidth="1"/>
    <col min="4097" max="4108" width="8.140625" style="6" customWidth="1"/>
    <col min="4109" max="4349" width="11.42578125" style="6"/>
    <col min="4350" max="4350" width="6.28515625" style="6" customWidth="1"/>
    <col min="4351" max="4351" width="45" style="6" customWidth="1"/>
    <col min="4352" max="4352" width="10.7109375" style="6" customWidth="1"/>
    <col min="4353" max="4364" width="8.140625" style="6" customWidth="1"/>
    <col min="4365" max="4605" width="11.42578125" style="6"/>
    <col min="4606" max="4606" width="6.28515625" style="6" customWidth="1"/>
    <col min="4607" max="4607" width="45" style="6" customWidth="1"/>
    <col min="4608" max="4608" width="10.7109375" style="6" customWidth="1"/>
    <col min="4609" max="4620" width="8.140625" style="6" customWidth="1"/>
    <col min="4621" max="4861" width="11.42578125" style="6"/>
    <col min="4862" max="4862" width="6.28515625" style="6" customWidth="1"/>
    <col min="4863" max="4863" width="45" style="6" customWidth="1"/>
    <col min="4864" max="4864" width="10.7109375" style="6" customWidth="1"/>
    <col min="4865" max="4876" width="8.140625" style="6" customWidth="1"/>
    <col min="4877" max="5117" width="11.42578125" style="6"/>
    <col min="5118" max="5118" width="6.28515625" style="6" customWidth="1"/>
    <col min="5119" max="5119" width="45" style="6" customWidth="1"/>
    <col min="5120" max="5120" width="10.7109375" style="6" customWidth="1"/>
    <col min="5121" max="5132" width="8.140625" style="6" customWidth="1"/>
    <col min="5133" max="5373" width="11.42578125" style="6"/>
    <col min="5374" max="5374" width="6.28515625" style="6" customWidth="1"/>
    <col min="5375" max="5375" width="45" style="6" customWidth="1"/>
    <col min="5376" max="5376" width="10.7109375" style="6" customWidth="1"/>
    <col min="5377" max="5388" width="8.140625" style="6" customWidth="1"/>
    <col min="5389" max="5629" width="11.42578125" style="6"/>
    <col min="5630" max="5630" width="6.28515625" style="6" customWidth="1"/>
    <col min="5631" max="5631" width="45" style="6" customWidth="1"/>
    <col min="5632" max="5632" width="10.7109375" style="6" customWidth="1"/>
    <col min="5633" max="5644" width="8.140625" style="6" customWidth="1"/>
    <col min="5645" max="5885" width="11.42578125" style="6"/>
    <col min="5886" max="5886" width="6.28515625" style="6" customWidth="1"/>
    <col min="5887" max="5887" width="45" style="6" customWidth="1"/>
    <col min="5888" max="5888" width="10.7109375" style="6" customWidth="1"/>
    <col min="5889" max="5900" width="8.140625" style="6" customWidth="1"/>
    <col min="5901" max="6141" width="11.42578125" style="6"/>
    <col min="6142" max="6142" width="6.28515625" style="6" customWidth="1"/>
    <col min="6143" max="6143" width="45" style="6" customWidth="1"/>
    <col min="6144" max="6144" width="10.7109375" style="6" customWidth="1"/>
    <col min="6145" max="6156" width="8.140625" style="6" customWidth="1"/>
    <col min="6157" max="6397" width="11.42578125" style="6"/>
    <col min="6398" max="6398" width="6.28515625" style="6" customWidth="1"/>
    <col min="6399" max="6399" width="45" style="6" customWidth="1"/>
    <col min="6400" max="6400" width="10.7109375" style="6" customWidth="1"/>
    <col min="6401" max="6412" width="8.140625" style="6" customWidth="1"/>
    <col min="6413" max="6653" width="11.42578125" style="6"/>
    <col min="6654" max="6654" width="6.28515625" style="6" customWidth="1"/>
    <col min="6655" max="6655" width="45" style="6" customWidth="1"/>
    <col min="6656" max="6656" width="10.7109375" style="6" customWidth="1"/>
    <col min="6657" max="6668" width="8.140625" style="6" customWidth="1"/>
    <col min="6669" max="6909" width="11.42578125" style="6"/>
    <col min="6910" max="6910" width="6.28515625" style="6" customWidth="1"/>
    <col min="6911" max="6911" width="45" style="6" customWidth="1"/>
    <col min="6912" max="6912" width="10.7109375" style="6" customWidth="1"/>
    <col min="6913" max="6924" width="8.140625" style="6" customWidth="1"/>
    <col min="6925" max="7165" width="11.42578125" style="6"/>
    <col min="7166" max="7166" width="6.28515625" style="6" customWidth="1"/>
    <col min="7167" max="7167" width="45" style="6" customWidth="1"/>
    <col min="7168" max="7168" width="10.7109375" style="6" customWidth="1"/>
    <col min="7169" max="7180" width="8.140625" style="6" customWidth="1"/>
    <col min="7181" max="7421" width="11.42578125" style="6"/>
    <col min="7422" max="7422" width="6.28515625" style="6" customWidth="1"/>
    <col min="7423" max="7423" width="45" style="6" customWidth="1"/>
    <col min="7424" max="7424" width="10.7109375" style="6" customWidth="1"/>
    <col min="7425" max="7436" width="8.140625" style="6" customWidth="1"/>
    <col min="7437" max="7677" width="11.42578125" style="6"/>
    <col min="7678" max="7678" width="6.28515625" style="6" customWidth="1"/>
    <col min="7679" max="7679" width="45" style="6" customWidth="1"/>
    <col min="7680" max="7680" width="10.7109375" style="6" customWidth="1"/>
    <col min="7681" max="7692" width="8.140625" style="6" customWidth="1"/>
    <col min="7693" max="7933" width="11.42578125" style="6"/>
    <col min="7934" max="7934" width="6.28515625" style="6" customWidth="1"/>
    <col min="7935" max="7935" width="45" style="6" customWidth="1"/>
    <col min="7936" max="7936" width="10.7109375" style="6" customWidth="1"/>
    <col min="7937" max="7948" width="8.140625" style="6" customWidth="1"/>
    <col min="7949" max="8189" width="11.42578125" style="6"/>
    <col min="8190" max="8190" width="6.28515625" style="6" customWidth="1"/>
    <col min="8191" max="8191" width="45" style="6" customWidth="1"/>
    <col min="8192" max="8192" width="10.7109375" style="6" customWidth="1"/>
    <col min="8193" max="8204" width="8.140625" style="6" customWidth="1"/>
    <col min="8205" max="8445" width="11.42578125" style="6"/>
    <col min="8446" max="8446" width="6.28515625" style="6" customWidth="1"/>
    <col min="8447" max="8447" width="45" style="6" customWidth="1"/>
    <col min="8448" max="8448" width="10.7109375" style="6" customWidth="1"/>
    <col min="8449" max="8460" width="8.140625" style="6" customWidth="1"/>
    <col min="8461" max="8701" width="11.42578125" style="6"/>
    <col min="8702" max="8702" width="6.28515625" style="6" customWidth="1"/>
    <col min="8703" max="8703" width="45" style="6" customWidth="1"/>
    <col min="8704" max="8704" width="10.7109375" style="6" customWidth="1"/>
    <col min="8705" max="8716" width="8.140625" style="6" customWidth="1"/>
    <col min="8717" max="8957" width="11.42578125" style="6"/>
    <col min="8958" max="8958" width="6.28515625" style="6" customWidth="1"/>
    <col min="8959" max="8959" width="45" style="6" customWidth="1"/>
    <col min="8960" max="8960" width="10.7109375" style="6" customWidth="1"/>
    <col min="8961" max="8972" width="8.140625" style="6" customWidth="1"/>
    <col min="8973" max="9213" width="11.42578125" style="6"/>
    <col min="9214" max="9214" width="6.28515625" style="6" customWidth="1"/>
    <col min="9215" max="9215" width="45" style="6" customWidth="1"/>
    <col min="9216" max="9216" width="10.7109375" style="6" customWidth="1"/>
    <col min="9217" max="9228" width="8.140625" style="6" customWidth="1"/>
    <col min="9229" max="9469" width="11.42578125" style="6"/>
    <col min="9470" max="9470" width="6.28515625" style="6" customWidth="1"/>
    <col min="9471" max="9471" width="45" style="6" customWidth="1"/>
    <col min="9472" max="9472" width="10.7109375" style="6" customWidth="1"/>
    <col min="9473" max="9484" width="8.140625" style="6" customWidth="1"/>
    <col min="9485" max="9725" width="11.42578125" style="6"/>
    <col min="9726" max="9726" width="6.28515625" style="6" customWidth="1"/>
    <col min="9727" max="9727" width="45" style="6" customWidth="1"/>
    <col min="9728" max="9728" width="10.7109375" style="6" customWidth="1"/>
    <col min="9729" max="9740" width="8.140625" style="6" customWidth="1"/>
    <col min="9741" max="9981" width="11.42578125" style="6"/>
    <col min="9982" max="9982" width="6.28515625" style="6" customWidth="1"/>
    <col min="9983" max="9983" width="45" style="6" customWidth="1"/>
    <col min="9984" max="9984" width="10.7109375" style="6" customWidth="1"/>
    <col min="9985" max="9996" width="8.140625" style="6" customWidth="1"/>
    <col min="9997" max="10237" width="11.42578125" style="6"/>
    <col min="10238" max="10238" width="6.28515625" style="6" customWidth="1"/>
    <col min="10239" max="10239" width="45" style="6" customWidth="1"/>
    <col min="10240" max="10240" width="10.7109375" style="6" customWidth="1"/>
    <col min="10241" max="10252" width="8.140625" style="6" customWidth="1"/>
    <col min="10253" max="10493" width="11.42578125" style="6"/>
    <col min="10494" max="10494" width="6.28515625" style="6" customWidth="1"/>
    <col min="10495" max="10495" width="45" style="6" customWidth="1"/>
    <col min="10496" max="10496" width="10.7109375" style="6" customWidth="1"/>
    <col min="10497" max="10508" width="8.140625" style="6" customWidth="1"/>
    <col min="10509" max="10749" width="11.42578125" style="6"/>
    <col min="10750" max="10750" width="6.28515625" style="6" customWidth="1"/>
    <col min="10751" max="10751" width="45" style="6" customWidth="1"/>
    <col min="10752" max="10752" width="10.7109375" style="6" customWidth="1"/>
    <col min="10753" max="10764" width="8.140625" style="6" customWidth="1"/>
    <col min="10765" max="11005" width="11.42578125" style="6"/>
    <col min="11006" max="11006" width="6.28515625" style="6" customWidth="1"/>
    <col min="11007" max="11007" width="45" style="6" customWidth="1"/>
    <col min="11008" max="11008" width="10.7109375" style="6" customWidth="1"/>
    <col min="11009" max="11020" width="8.140625" style="6" customWidth="1"/>
    <col min="11021" max="11261" width="11.42578125" style="6"/>
    <col min="11262" max="11262" width="6.28515625" style="6" customWidth="1"/>
    <col min="11263" max="11263" width="45" style="6" customWidth="1"/>
    <col min="11264" max="11264" width="10.7109375" style="6" customWidth="1"/>
    <col min="11265" max="11276" width="8.140625" style="6" customWidth="1"/>
    <col min="11277" max="11517" width="11.42578125" style="6"/>
    <col min="11518" max="11518" width="6.28515625" style="6" customWidth="1"/>
    <col min="11519" max="11519" width="45" style="6" customWidth="1"/>
    <col min="11520" max="11520" width="10.7109375" style="6" customWidth="1"/>
    <col min="11521" max="11532" width="8.140625" style="6" customWidth="1"/>
    <col min="11533" max="11773" width="11.42578125" style="6"/>
    <col min="11774" max="11774" width="6.28515625" style="6" customWidth="1"/>
    <col min="11775" max="11775" width="45" style="6" customWidth="1"/>
    <col min="11776" max="11776" width="10.7109375" style="6" customWidth="1"/>
    <col min="11777" max="11788" width="8.140625" style="6" customWidth="1"/>
    <col min="11789" max="12029" width="11.42578125" style="6"/>
    <col min="12030" max="12030" width="6.28515625" style="6" customWidth="1"/>
    <col min="12031" max="12031" width="45" style="6" customWidth="1"/>
    <col min="12032" max="12032" width="10.7109375" style="6" customWidth="1"/>
    <col min="12033" max="12044" width="8.140625" style="6" customWidth="1"/>
    <col min="12045" max="12285" width="11.42578125" style="6"/>
    <col min="12286" max="12286" width="6.28515625" style="6" customWidth="1"/>
    <col min="12287" max="12287" width="45" style="6" customWidth="1"/>
    <col min="12288" max="12288" width="10.7109375" style="6" customWidth="1"/>
    <col min="12289" max="12300" width="8.140625" style="6" customWidth="1"/>
    <col min="12301" max="12541" width="11.42578125" style="6"/>
    <col min="12542" max="12542" width="6.28515625" style="6" customWidth="1"/>
    <col min="12543" max="12543" width="45" style="6" customWidth="1"/>
    <col min="12544" max="12544" width="10.7109375" style="6" customWidth="1"/>
    <col min="12545" max="12556" width="8.140625" style="6" customWidth="1"/>
    <col min="12557" max="12797" width="11.42578125" style="6"/>
    <col min="12798" max="12798" width="6.28515625" style="6" customWidth="1"/>
    <col min="12799" max="12799" width="45" style="6" customWidth="1"/>
    <col min="12800" max="12800" width="10.7109375" style="6" customWidth="1"/>
    <col min="12801" max="12812" width="8.140625" style="6" customWidth="1"/>
    <col min="12813" max="13053" width="11.42578125" style="6"/>
    <col min="13054" max="13054" width="6.28515625" style="6" customWidth="1"/>
    <col min="13055" max="13055" width="45" style="6" customWidth="1"/>
    <col min="13056" max="13056" width="10.7109375" style="6" customWidth="1"/>
    <col min="13057" max="13068" width="8.140625" style="6" customWidth="1"/>
    <col min="13069" max="13309" width="11.42578125" style="6"/>
    <col min="13310" max="13310" width="6.28515625" style="6" customWidth="1"/>
    <col min="13311" max="13311" width="45" style="6" customWidth="1"/>
    <col min="13312" max="13312" width="10.7109375" style="6" customWidth="1"/>
    <col min="13313" max="13324" width="8.140625" style="6" customWidth="1"/>
    <col min="13325" max="13565" width="11.42578125" style="6"/>
    <col min="13566" max="13566" width="6.28515625" style="6" customWidth="1"/>
    <col min="13567" max="13567" width="45" style="6" customWidth="1"/>
    <col min="13568" max="13568" width="10.7109375" style="6" customWidth="1"/>
    <col min="13569" max="13580" width="8.140625" style="6" customWidth="1"/>
    <col min="13581" max="13821" width="11.42578125" style="6"/>
    <col min="13822" max="13822" width="6.28515625" style="6" customWidth="1"/>
    <col min="13823" max="13823" width="45" style="6" customWidth="1"/>
    <col min="13824" max="13824" width="10.7109375" style="6" customWidth="1"/>
    <col min="13825" max="13836" width="8.140625" style="6" customWidth="1"/>
    <col min="13837" max="14077" width="11.42578125" style="6"/>
    <col min="14078" max="14078" width="6.28515625" style="6" customWidth="1"/>
    <col min="14079" max="14079" width="45" style="6" customWidth="1"/>
    <col min="14080" max="14080" width="10.7109375" style="6" customWidth="1"/>
    <col min="14081" max="14092" width="8.140625" style="6" customWidth="1"/>
    <col min="14093" max="14333" width="11.42578125" style="6"/>
    <col min="14334" max="14334" width="6.28515625" style="6" customWidth="1"/>
    <col min="14335" max="14335" width="45" style="6" customWidth="1"/>
    <col min="14336" max="14336" width="10.7109375" style="6" customWidth="1"/>
    <col min="14337" max="14348" width="8.140625" style="6" customWidth="1"/>
    <col min="14349" max="14589" width="11.42578125" style="6"/>
    <col min="14590" max="14590" width="6.28515625" style="6" customWidth="1"/>
    <col min="14591" max="14591" width="45" style="6" customWidth="1"/>
    <col min="14592" max="14592" width="10.7109375" style="6" customWidth="1"/>
    <col min="14593" max="14604" width="8.140625" style="6" customWidth="1"/>
    <col min="14605" max="14845" width="11.42578125" style="6"/>
    <col min="14846" max="14846" width="6.28515625" style="6" customWidth="1"/>
    <col min="14847" max="14847" width="45" style="6" customWidth="1"/>
    <col min="14848" max="14848" width="10.7109375" style="6" customWidth="1"/>
    <col min="14849" max="14860" width="8.140625" style="6" customWidth="1"/>
    <col min="14861" max="15101" width="11.42578125" style="6"/>
    <col min="15102" max="15102" width="6.28515625" style="6" customWidth="1"/>
    <col min="15103" max="15103" width="45" style="6" customWidth="1"/>
    <col min="15104" max="15104" width="10.7109375" style="6" customWidth="1"/>
    <col min="15105" max="15116" width="8.140625" style="6" customWidth="1"/>
    <col min="15117" max="15357" width="11.42578125" style="6"/>
    <col min="15358" max="15358" width="6.28515625" style="6" customWidth="1"/>
    <col min="15359" max="15359" width="45" style="6" customWidth="1"/>
    <col min="15360" max="15360" width="10.7109375" style="6" customWidth="1"/>
    <col min="15361" max="15372" width="8.140625" style="6" customWidth="1"/>
    <col min="15373" max="15613" width="11.42578125" style="6"/>
    <col min="15614" max="15614" width="6.28515625" style="6" customWidth="1"/>
    <col min="15615" max="15615" width="45" style="6" customWidth="1"/>
    <col min="15616" max="15616" width="10.7109375" style="6" customWidth="1"/>
    <col min="15617" max="15628" width="8.140625" style="6" customWidth="1"/>
    <col min="15629" max="15869" width="11.42578125" style="6"/>
    <col min="15870" max="15870" width="6.28515625" style="6" customWidth="1"/>
    <col min="15871" max="15871" width="45" style="6" customWidth="1"/>
    <col min="15872" max="15872" width="10.7109375" style="6" customWidth="1"/>
    <col min="15873" max="15884" width="8.140625" style="6" customWidth="1"/>
    <col min="15885" max="16125" width="11.42578125" style="6"/>
    <col min="16126" max="16126" width="6.28515625" style="6" customWidth="1"/>
    <col min="16127" max="16127" width="45" style="6" customWidth="1"/>
    <col min="16128" max="16128" width="10.7109375" style="6" customWidth="1"/>
    <col min="16129" max="16140" width="8.140625" style="6" customWidth="1"/>
    <col min="16141" max="16384" width="11.42578125" style="6"/>
  </cols>
  <sheetData>
    <row r="1" spans="1:15" ht="17.25" customHeight="1" x14ac:dyDescent="0.25">
      <c r="A1" s="645" t="s">
        <v>356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15" ht="17.25" customHeight="1" x14ac:dyDescent="0.25">
      <c r="A2" s="646" t="s">
        <v>431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</row>
    <row r="3" spans="1:15" s="1" customFormat="1" ht="15.75" x14ac:dyDescent="0.25">
      <c r="A3" s="647" t="s">
        <v>323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</row>
    <row r="4" spans="1:15" s="1" customFormat="1" ht="15.75" x14ac:dyDescent="0.25">
      <c r="A4" s="647" t="s">
        <v>324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</row>
    <row r="5" spans="1:15" s="1" customFormat="1" ht="15.75" x14ac:dyDescent="0.25">
      <c r="A5" s="647" t="s">
        <v>325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</row>
    <row r="6" spans="1:15" s="8" customFormat="1" ht="16.5" customHeight="1" x14ac:dyDescent="0.25">
      <c r="A6" s="611" t="s">
        <v>349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</row>
    <row r="7" spans="1:15" s="524" customFormat="1" ht="16.5" customHeight="1" x14ac:dyDescent="0.25">
      <c r="A7" s="642" t="s">
        <v>350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</row>
    <row r="8" spans="1:15" s="524" customFormat="1" ht="16.5" customHeight="1" x14ac:dyDescent="0.25">
      <c r="A8" s="613" t="s">
        <v>452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</row>
    <row r="9" spans="1:15" s="526" customFormat="1" ht="15.75" customHeight="1" x14ac:dyDescent="0.2">
      <c r="A9" s="525" t="s">
        <v>5</v>
      </c>
      <c r="B9" s="589" t="s">
        <v>9</v>
      </c>
      <c r="C9" s="523" t="s">
        <v>3</v>
      </c>
      <c r="D9" s="523" t="s">
        <v>392</v>
      </c>
      <c r="E9" s="523" t="s">
        <v>393</v>
      </c>
      <c r="F9" s="523" t="s">
        <v>394</v>
      </c>
      <c r="G9" s="523" t="s">
        <v>395</v>
      </c>
      <c r="H9" s="523" t="s">
        <v>396</v>
      </c>
      <c r="I9" s="523" t="s">
        <v>397</v>
      </c>
      <c r="J9" s="523" t="s">
        <v>398</v>
      </c>
      <c r="K9" s="523" t="s">
        <v>399</v>
      </c>
      <c r="L9" s="523" t="s">
        <v>400</v>
      </c>
      <c r="M9" s="523" t="s">
        <v>401</v>
      </c>
      <c r="N9" s="523" t="s">
        <v>402</v>
      </c>
      <c r="O9" s="523" t="s">
        <v>403</v>
      </c>
    </row>
    <row r="10" spans="1:15" ht="45.75" customHeight="1" x14ac:dyDescent="0.25">
      <c r="A10" s="527">
        <v>1</v>
      </c>
      <c r="B10" s="306" t="s">
        <v>438</v>
      </c>
      <c r="C10" s="415">
        <v>55000000</v>
      </c>
      <c r="D10" s="40">
        <v>0</v>
      </c>
      <c r="E10" s="643">
        <f>C10</f>
        <v>55000000</v>
      </c>
      <c r="F10" s="644"/>
      <c r="G10" s="644"/>
      <c r="H10" s="644"/>
      <c r="I10" s="644"/>
      <c r="J10" s="644"/>
      <c r="K10" s="644"/>
      <c r="L10" s="644"/>
      <c r="M10" s="644"/>
      <c r="N10" s="644"/>
      <c r="O10" s="652"/>
    </row>
    <row r="11" spans="1:15" s="524" customFormat="1" ht="13.5" customHeight="1" x14ac:dyDescent="0.25">
      <c r="A11" s="613" t="s">
        <v>452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</row>
    <row r="12" spans="1:15" s="526" customFormat="1" ht="11.25" x14ac:dyDescent="0.2">
      <c r="A12" s="525" t="s">
        <v>5</v>
      </c>
      <c r="B12" s="589" t="s">
        <v>9</v>
      </c>
      <c r="C12" s="589" t="s">
        <v>3</v>
      </c>
      <c r="D12" s="589" t="s">
        <v>392</v>
      </c>
      <c r="E12" s="589" t="s">
        <v>393</v>
      </c>
      <c r="F12" s="589" t="s">
        <v>394</v>
      </c>
      <c r="G12" s="589" t="s">
        <v>395</v>
      </c>
      <c r="H12" s="589" t="s">
        <v>396</v>
      </c>
      <c r="I12" s="589" t="s">
        <v>397</v>
      </c>
      <c r="J12" s="589" t="s">
        <v>398</v>
      </c>
      <c r="K12" s="589" t="s">
        <v>399</v>
      </c>
      <c r="L12" s="589" t="s">
        <v>400</v>
      </c>
      <c r="M12" s="589" t="s">
        <v>401</v>
      </c>
      <c r="N12" s="589" t="s">
        <v>402</v>
      </c>
      <c r="O12" s="589" t="s">
        <v>403</v>
      </c>
    </row>
    <row r="13" spans="1:15" ht="24.75" customHeight="1" x14ac:dyDescent="0.25">
      <c r="A13" s="527">
        <v>2</v>
      </c>
      <c r="B13" s="570" t="s">
        <v>457</v>
      </c>
      <c r="C13" s="573">
        <v>118800000</v>
      </c>
      <c r="D13" s="40">
        <v>0</v>
      </c>
      <c r="E13" s="643">
        <f>C13</f>
        <v>118800000</v>
      </c>
      <c r="F13" s="644"/>
      <c r="G13" s="644"/>
      <c r="H13" s="644"/>
      <c r="I13" s="644"/>
      <c r="J13" s="644"/>
      <c r="K13" s="644"/>
      <c r="L13" s="644"/>
      <c r="M13" s="644"/>
      <c r="N13" s="644"/>
      <c r="O13" s="652"/>
    </row>
    <row r="14" spans="1:15" s="524" customFormat="1" ht="15" customHeight="1" x14ac:dyDescent="0.25">
      <c r="A14" s="613" t="s">
        <v>453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</row>
    <row r="15" spans="1:15" s="526" customFormat="1" ht="13.5" customHeight="1" x14ac:dyDescent="0.2">
      <c r="A15" s="525" t="s">
        <v>5</v>
      </c>
      <c r="B15" s="589" t="s">
        <v>9</v>
      </c>
      <c r="C15" s="589" t="s">
        <v>3</v>
      </c>
      <c r="D15" s="589" t="s">
        <v>392</v>
      </c>
      <c r="E15" s="589" t="s">
        <v>393</v>
      </c>
      <c r="F15" s="589" t="s">
        <v>394</v>
      </c>
      <c r="G15" s="589" t="s">
        <v>395</v>
      </c>
      <c r="H15" s="589" t="s">
        <v>396</v>
      </c>
      <c r="I15" s="589" t="s">
        <v>397</v>
      </c>
      <c r="J15" s="589" t="s">
        <v>398</v>
      </c>
      <c r="K15" s="589" t="s">
        <v>399</v>
      </c>
      <c r="L15" s="589" t="s">
        <v>400</v>
      </c>
      <c r="M15" s="589" t="s">
        <v>401</v>
      </c>
      <c r="N15" s="589" t="s">
        <v>402</v>
      </c>
      <c r="O15" s="589" t="s">
        <v>403</v>
      </c>
    </row>
    <row r="16" spans="1:15" ht="24.75" customHeight="1" x14ac:dyDescent="0.25">
      <c r="A16" s="527">
        <v>3</v>
      </c>
      <c r="B16" s="881" t="s">
        <v>437</v>
      </c>
      <c r="C16" s="573">
        <v>20009012.84</v>
      </c>
      <c r="D16" s="40">
        <v>0</v>
      </c>
      <c r="E16" s="643">
        <f>C16</f>
        <v>20009012.84</v>
      </c>
      <c r="F16" s="644"/>
      <c r="G16" s="644"/>
      <c r="H16" s="644"/>
      <c r="I16" s="644"/>
      <c r="J16" s="644"/>
      <c r="K16" s="644"/>
      <c r="L16" s="644"/>
      <c r="M16" s="644"/>
      <c r="N16" s="644"/>
      <c r="O16" s="652"/>
    </row>
    <row r="17" spans="1:17" x14ac:dyDescent="0.25">
      <c r="A17" s="648" t="s">
        <v>404</v>
      </c>
      <c r="B17" s="648"/>
      <c r="C17" s="648"/>
      <c r="D17" s="649">
        <f>ROUND(SUM(C10:C16),0)</f>
        <v>193809013</v>
      </c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</row>
    <row r="18" spans="1:17" s="8" customFormat="1" ht="17.25" customHeight="1" x14ac:dyDescent="0.25">
      <c r="A18" s="611" t="s">
        <v>351</v>
      </c>
      <c r="B18" s="611"/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</row>
    <row r="19" spans="1:17" s="80" customFormat="1" ht="17.25" customHeight="1" x14ac:dyDescent="0.25">
      <c r="A19" s="612" t="s">
        <v>456</v>
      </c>
      <c r="B19" s="612"/>
      <c r="C19" s="612"/>
      <c r="D19" s="612"/>
      <c r="E19" s="612"/>
      <c r="F19" s="612"/>
      <c r="G19" s="612"/>
      <c r="H19" s="612"/>
      <c r="I19" s="612"/>
      <c r="J19" s="612"/>
      <c r="K19" s="612"/>
      <c r="L19" s="612"/>
      <c r="M19" s="612"/>
      <c r="N19" s="612"/>
      <c r="O19" s="612"/>
      <c r="P19" s="331"/>
      <c r="Q19" s="8"/>
    </row>
    <row r="20" spans="1:17" s="524" customFormat="1" ht="15" customHeight="1" x14ac:dyDescent="0.25">
      <c r="A20" s="613" t="s">
        <v>453</v>
      </c>
      <c r="B20" s="613"/>
      <c r="C20" s="613"/>
      <c r="D20" s="613"/>
      <c r="E20" s="613"/>
      <c r="F20" s="613"/>
      <c r="G20" s="613"/>
      <c r="H20" s="613"/>
      <c r="I20" s="613"/>
      <c r="J20" s="613"/>
      <c r="K20" s="613"/>
      <c r="L20" s="613"/>
      <c r="M20" s="613"/>
      <c r="N20" s="613"/>
      <c r="O20" s="613"/>
    </row>
    <row r="21" spans="1:17" s="526" customFormat="1" ht="13.5" customHeight="1" x14ac:dyDescent="0.2">
      <c r="A21" s="525" t="s">
        <v>5</v>
      </c>
      <c r="B21" s="523" t="s">
        <v>9</v>
      </c>
      <c r="C21" s="523" t="s">
        <v>3</v>
      </c>
      <c r="D21" s="523" t="s">
        <v>392</v>
      </c>
      <c r="E21" s="523" t="s">
        <v>393</v>
      </c>
      <c r="F21" s="523" t="s">
        <v>394</v>
      </c>
      <c r="G21" s="523" t="s">
        <v>395</v>
      </c>
      <c r="H21" s="523" t="s">
        <v>396</v>
      </c>
      <c r="I21" s="523" t="s">
        <v>397</v>
      </c>
      <c r="J21" s="523" t="s">
        <v>398</v>
      </c>
      <c r="K21" s="523" t="s">
        <v>399</v>
      </c>
      <c r="L21" s="523" t="s">
        <v>400</v>
      </c>
      <c r="M21" s="523" t="s">
        <v>401</v>
      </c>
      <c r="N21" s="523" t="s">
        <v>402</v>
      </c>
      <c r="O21" s="523" t="s">
        <v>403</v>
      </c>
    </row>
    <row r="22" spans="1:17" s="7" customFormat="1" ht="35.25" customHeight="1" x14ac:dyDescent="0.25">
      <c r="A22" s="527">
        <v>3</v>
      </c>
      <c r="B22" s="570" t="s">
        <v>326</v>
      </c>
      <c r="C22" s="72">
        <v>129939080.86666664</v>
      </c>
      <c r="D22" s="40">
        <v>0</v>
      </c>
      <c r="E22" s="643">
        <f>C22</f>
        <v>129939080.86666664</v>
      </c>
      <c r="F22" s="650"/>
      <c r="G22" s="651"/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1:17" x14ac:dyDescent="0.25">
      <c r="A23" s="648" t="s">
        <v>405</v>
      </c>
      <c r="B23" s="648"/>
      <c r="C23" s="648"/>
      <c r="D23" s="649">
        <f>ROUND(SUM(C22:C22),0)</f>
        <v>129939081</v>
      </c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</row>
    <row r="24" spans="1:17" s="8" customFormat="1" ht="16.5" customHeight="1" x14ac:dyDescent="0.25">
      <c r="A24" s="611" t="s">
        <v>353</v>
      </c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312"/>
    </row>
    <row r="25" spans="1:17" s="80" customFormat="1" ht="16.5" customHeight="1" x14ac:dyDescent="0.25">
      <c r="A25" s="612" t="s">
        <v>454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8"/>
      <c r="Q25" s="8"/>
    </row>
    <row r="26" spans="1:17" s="524" customFormat="1" ht="15" customHeight="1" x14ac:dyDescent="0.25">
      <c r="A26" s="613" t="s">
        <v>453</v>
      </c>
      <c r="B26" s="613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</row>
    <row r="27" spans="1:17" s="526" customFormat="1" ht="14.25" customHeight="1" x14ac:dyDescent="0.2">
      <c r="A27" s="525" t="s">
        <v>5</v>
      </c>
      <c r="B27" s="523" t="s">
        <v>9</v>
      </c>
      <c r="C27" s="523" t="s">
        <v>3</v>
      </c>
      <c r="D27" s="523" t="s">
        <v>392</v>
      </c>
      <c r="E27" s="523" t="s">
        <v>393</v>
      </c>
      <c r="F27" s="523" t="s">
        <v>394</v>
      </c>
      <c r="G27" s="523" t="s">
        <v>395</v>
      </c>
      <c r="H27" s="523" t="s">
        <v>396</v>
      </c>
      <c r="I27" s="523" t="s">
        <v>397</v>
      </c>
      <c r="J27" s="523" t="s">
        <v>398</v>
      </c>
      <c r="K27" s="523" t="s">
        <v>399</v>
      </c>
      <c r="L27" s="523" t="s">
        <v>400</v>
      </c>
      <c r="M27" s="523" t="s">
        <v>401</v>
      </c>
      <c r="N27" s="523" t="s">
        <v>402</v>
      </c>
      <c r="O27" s="523" t="s">
        <v>403</v>
      </c>
    </row>
    <row r="28" spans="1:17" s="7" customFormat="1" ht="33.75" customHeight="1" x14ac:dyDescent="0.25">
      <c r="A28" s="527">
        <v>4</v>
      </c>
      <c r="B28" s="881" t="s">
        <v>413</v>
      </c>
      <c r="C28" s="72">
        <v>250518541.5</v>
      </c>
      <c r="D28" s="40">
        <v>0</v>
      </c>
      <c r="E28" s="643">
        <f>C28</f>
        <v>250518541.5</v>
      </c>
      <c r="F28" s="644"/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</row>
    <row r="29" spans="1:17" s="7" customFormat="1" ht="33.75" customHeight="1" x14ac:dyDescent="0.25">
      <c r="A29" s="527">
        <v>5</v>
      </c>
      <c r="B29" s="881" t="s">
        <v>330</v>
      </c>
      <c r="C29" s="72">
        <v>25457718.440000001</v>
      </c>
      <c r="D29" s="40">
        <v>0</v>
      </c>
      <c r="E29" s="643">
        <f>C29</f>
        <v>25457718.440000001</v>
      </c>
      <c r="F29" s="644"/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1:17" ht="13.5" customHeight="1" x14ac:dyDescent="0.25">
      <c r="A30" s="648" t="s">
        <v>407</v>
      </c>
      <c r="B30" s="648"/>
      <c r="C30" s="648"/>
      <c r="D30" s="649">
        <f>ROUND(SUM(C28:C29),0)</f>
        <v>275976260</v>
      </c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</row>
    <row r="31" spans="1:17" s="8" customFormat="1" ht="18" customHeight="1" x14ac:dyDescent="0.25">
      <c r="A31" s="611" t="s">
        <v>415</v>
      </c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  <c r="M31" s="611"/>
      <c r="N31" s="611"/>
      <c r="O31" s="611"/>
    </row>
    <row r="32" spans="1:17" s="80" customFormat="1" ht="18" customHeight="1" x14ac:dyDescent="0.25">
      <c r="A32" s="612" t="s">
        <v>455</v>
      </c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331"/>
      <c r="Q32" s="8"/>
    </row>
    <row r="33" spans="1:15" s="524" customFormat="1" ht="13.5" customHeight="1" x14ac:dyDescent="0.25">
      <c r="A33" s="613" t="s">
        <v>453</v>
      </c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</row>
    <row r="34" spans="1:15" s="526" customFormat="1" ht="11.25" x14ac:dyDescent="0.2">
      <c r="A34" s="525" t="s">
        <v>5</v>
      </c>
      <c r="B34" s="566" t="s">
        <v>9</v>
      </c>
      <c r="C34" s="566" t="s">
        <v>3</v>
      </c>
      <c r="D34" s="566" t="s">
        <v>392</v>
      </c>
      <c r="E34" s="566" t="s">
        <v>393</v>
      </c>
      <c r="F34" s="566" t="s">
        <v>394</v>
      </c>
      <c r="G34" s="566" t="s">
        <v>395</v>
      </c>
      <c r="H34" s="566" t="s">
        <v>396</v>
      </c>
      <c r="I34" s="566" t="s">
        <v>397</v>
      </c>
      <c r="J34" s="566" t="s">
        <v>398</v>
      </c>
      <c r="K34" s="566" t="s">
        <v>399</v>
      </c>
      <c r="L34" s="566" t="s">
        <v>400</v>
      </c>
      <c r="M34" s="566" t="s">
        <v>401</v>
      </c>
      <c r="N34" s="566" t="s">
        <v>402</v>
      </c>
      <c r="O34" s="566" t="s">
        <v>403</v>
      </c>
    </row>
    <row r="35" spans="1:15" s="7" customFormat="1" ht="30" customHeight="1" x14ac:dyDescent="0.25">
      <c r="A35" s="527">
        <v>6</v>
      </c>
      <c r="B35" s="881" t="s">
        <v>428</v>
      </c>
      <c r="C35" s="416">
        <v>50989905</v>
      </c>
      <c r="D35" s="40">
        <v>0</v>
      </c>
      <c r="E35" s="643">
        <f>C35</f>
        <v>50989905</v>
      </c>
      <c r="F35" s="644"/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1:15" x14ac:dyDescent="0.25">
      <c r="A36" s="648" t="s">
        <v>432</v>
      </c>
      <c r="B36" s="648"/>
      <c r="C36" s="648"/>
      <c r="D36" s="649">
        <f>ROUND(SUM(C35:C35),0)</f>
        <v>50989905</v>
      </c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</row>
    <row r="37" spans="1:15" ht="12.75" customHeight="1" x14ac:dyDescent="0.25">
      <c r="A37" s="653" t="s">
        <v>435</v>
      </c>
      <c r="B37" s="653"/>
      <c r="C37" s="653"/>
      <c r="D37" s="654">
        <f>ROUND(D17+D23+D30+D36,0)</f>
        <v>650714259</v>
      </c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</row>
    <row r="40" spans="1:15" s="1" customFormat="1" x14ac:dyDescent="0.25">
      <c r="D40" s="2"/>
      <c r="E40" s="3"/>
      <c r="H40" s="514"/>
      <c r="I40" s="514"/>
      <c r="J40" s="7"/>
      <c r="L40" s="7"/>
    </row>
    <row r="41" spans="1:15" s="1" customFormat="1" x14ac:dyDescent="0.25">
      <c r="D41" s="2"/>
      <c r="G41" s="514"/>
      <c r="H41" s="514"/>
      <c r="I41" s="514"/>
      <c r="J41" s="7"/>
      <c r="L41" s="7"/>
    </row>
    <row r="42" spans="1:15" s="1" customFormat="1" ht="12.75" x14ac:dyDescent="0.25">
      <c r="B42" s="528"/>
      <c r="D42" s="2"/>
      <c r="E42" s="3"/>
      <c r="H42" s="2"/>
      <c r="I42" s="3"/>
      <c r="K42" s="7"/>
      <c r="L42" s="7"/>
    </row>
    <row r="43" spans="1:15" s="1" customFormat="1" ht="12.75" x14ac:dyDescent="0.25">
      <c r="B43" s="529"/>
      <c r="D43" s="2"/>
      <c r="E43" s="3"/>
      <c r="H43" s="2"/>
      <c r="I43" s="3"/>
      <c r="K43" s="7"/>
      <c r="L43" s="7"/>
    </row>
    <row r="44" spans="1:15" x14ac:dyDescent="0.25">
      <c r="E44" s="586" t="s">
        <v>420</v>
      </c>
    </row>
    <row r="45" spans="1:15" s="1" customFormat="1" x14ac:dyDescent="0.25">
      <c r="B45" s="530"/>
      <c r="C45" s="530"/>
      <c r="D45" s="349"/>
      <c r="E45" s="587" t="s">
        <v>390</v>
      </c>
      <c r="F45" s="530"/>
      <c r="I45" s="530"/>
      <c r="J45" s="531"/>
      <c r="K45" s="532"/>
      <c r="L45" s="530"/>
    </row>
    <row r="46" spans="1:15" s="1" customFormat="1" ht="12.75" x14ac:dyDescent="0.25">
      <c r="B46" s="36"/>
      <c r="C46" s="36"/>
      <c r="D46" s="533"/>
      <c r="E46" s="129"/>
      <c r="F46" s="36"/>
      <c r="I46" s="36"/>
      <c r="J46" s="129"/>
      <c r="K46" s="534"/>
      <c r="L46" s="530"/>
    </row>
    <row r="48" spans="1:15" x14ac:dyDescent="0.25">
      <c r="B48" s="1"/>
      <c r="C48" s="1"/>
      <c r="D48" s="2"/>
    </row>
    <row r="49" spans="2:14" x14ac:dyDescent="0.25">
      <c r="B49" s="1"/>
      <c r="C49" s="1"/>
      <c r="D49" s="2"/>
    </row>
    <row r="50" spans="2:14" s="1" customFormat="1" ht="12.75" x14ac:dyDescent="0.25">
      <c r="B50" s="535"/>
      <c r="D50" s="2"/>
      <c r="K50" s="536"/>
      <c r="L50" s="537"/>
      <c r="M50" s="538"/>
      <c r="N50" s="538"/>
    </row>
    <row r="51" spans="2:14" s="1" customFormat="1" x14ac:dyDescent="0.25">
      <c r="B51" s="80"/>
      <c r="C51" s="6"/>
      <c r="D51" s="6"/>
      <c r="K51" s="539"/>
      <c r="L51" s="5"/>
    </row>
    <row r="52" spans="2:14" s="1" customFormat="1" x14ac:dyDescent="0.25">
      <c r="B52" s="80"/>
      <c r="C52" s="6"/>
      <c r="D52" s="6"/>
      <c r="K52" s="539"/>
      <c r="L52" s="5"/>
    </row>
  </sheetData>
  <mergeCells count="36">
    <mergeCell ref="A11:O11"/>
    <mergeCell ref="E10:O10"/>
    <mergeCell ref="E13:O13"/>
    <mergeCell ref="E16:O16"/>
    <mergeCell ref="A37:C37"/>
    <mergeCell ref="D37:O37"/>
    <mergeCell ref="A24:O24"/>
    <mergeCell ref="A30:C30"/>
    <mergeCell ref="D30:O30"/>
    <mergeCell ref="A25:O25"/>
    <mergeCell ref="A31:O31"/>
    <mergeCell ref="A32:O32"/>
    <mergeCell ref="A36:C36"/>
    <mergeCell ref="D36:O36"/>
    <mergeCell ref="A6:O6"/>
    <mergeCell ref="A1:O1"/>
    <mergeCell ref="A2:O2"/>
    <mergeCell ref="A3:O3"/>
    <mergeCell ref="A4:O4"/>
    <mergeCell ref="A5:O5"/>
    <mergeCell ref="A7:O7"/>
    <mergeCell ref="E35:F35"/>
    <mergeCell ref="E28:F28"/>
    <mergeCell ref="E29:F29"/>
    <mergeCell ref="A26:O26"/>
    <mergeCell ref="A33:O33"/>
    <mergeCell ref="A18:O18"/>
    <mergeCell ref="A19:O19"/>
    <mergeCell ref="A23:C23"/>
    <mergeCell ref="D23:O23"/>
    <mergeCell ref="E22:G22"/>
    <mergeCell ref="A20:O20"/>
    <mergeCell ref="A17:C17"/>
    <mergeCell ref="D17:O17"/>
    <mergeCell ref="A8:O8"/>
    <mergeCell ref="A14:O14"/>
  </mergeCells>
  <printOptions horizontalCentered="1"/>
  <pageMargins left="0.5118110236220472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1"/>
  <sheetViews>
    <sheetView topLeftCell="B13" zoomScaleNormal="100" workbookViewId="0">
      <selection activeCell="H27" sqref="H27:H28"/>
    </sheetView>
  </sheetViews>
  <sheetFormatPr baseColWidth="10" defaultColWidth="11" defaultRowHeight="12.75" x14ac:dyDescent="0.25"/>
  <cols>
    <col min="1" max="1" width="11" style="1"/>
    <col min="2" max="2" width="4.42578125" style="1" customWidth="1"/>
    <col min="3" max="3" width="48.140625" style="1" customWidth="1"/>
    <col min="4" max="4" width="14.28515625" style="1" customWidth="1"/>
    <col min="5" max="5" width="8.5703125" style="2" customWidth="1"/>
    <col min="6" max="6" width="11.7109375" style="3" customWidth="1"/>
    <col min="7" max="7" width="11.7109375" style="3" hidden="1" customWidth="1"/>
    <col min="8" max="8" width="10.85546875" style="3" customWidth="1"/>
    <col min="9" max="9" width="11" style="3" customWidth="1"/>
    <col min="10" max="10" width="11" style="3" hidden="1" customWidth="1"/>
    <col min="11" max="11" width="11" style="3" customWidth="1"/>
    <col min="12" max="12" width="13" style="1" customWidth="1"/>
    <col min="13" max="13" width="13" style="1" hidden="1" customWidth="1"/>
    <col min="14" max="14" width="10.7109375" style="1" customWidth="1"/>
    <col min="15" max="15" width="11.42578125" style="1" customWidth="1"/>
    <col min="16" max="16" width="13.42578125" style="1" customWidth="1"/>
    <col min="17" max="17" width="11" style="1"/>
    <col min="18" max="19" width="0" style="1" hidden="1" customWidth="1"/>
    <col min="20" max="16384" width="11" style="1"/>
  </cols>
  <sheetData>
    <row r="1" spans="1:19" ht="22.5" customHeight="1" x14ac:dyDescent="0.25">
      <c r="B1" s="655" t="s">
        <v>354</v>
      </c>
      <c r="C1" s="656"/>
      <c r="D1" s="656"/>
      <c r="E1" s="656"/>
      <c r="F1" s="656"/>
      <c r="G1" s="657"/>
      <c r="H1" s="656"/>
      <c r="I1" s="656"/>
      <c r="J1" s="657"/>
      <c r="K1" s="656"/>
      <c r="L1" s="656"/>
      <c r="M1" s="657"/>
      <c r="N1" s="656"/>
      <c r="O1" s="656"/>
      <c r="P1" s="658"/>
    </row>
    <row r="2" spans="1:19" ht="21.75" customHeight="1" x14ac:dyDescent="0.25">
      <c r="B2" s="659" t="s">
        <v>355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</row>
    <row r="3" spans="1:19" s="4" customFormat="1" ht="15.75" customHeight="1" x14ac:dyDescent="0.25">
      <c r="A3" s="80"/>
      <c r="B3" s="663" t="s">
        <v>416</v>
      </c>
      <c r="C3" s="664"/>
      <c r="D3" s="664"/>
      <c r="E3" s="664"/>
      <c r="F3" s="664"/>
      <c r="G3" s="665"/>
      <c r="H3" s="664"/>
      <c r="I3" s="664"/>
      <c r="J3" s="665"/>
      <c r="K3" s="664"/>
      <c r="L3" s="664"/>
      <c r="M3" s="665"/>
      <c r="N3" s="664"/>
      <c r="O3" s="664"/>
      <c r="P3" s="666"/>
    </row>
    <row r="4" spans="1:19" s="36" customFormat="1" ht="24" customHeight="1" x14ac:dyDescent="0.25">
      <c r="B4" s="661" t="s">
        <v>5</v>
      </c>
      <c r="C4" s="63" t="s">
        <v>9</v>
      </c>
      <c r="D4" s="64"/>
      <c r="E4" s="65"/>
      <c r="F4" s="671" t="s">
        <v>317</v>
      </c>
      <c r="G4" s="673"/>
      <c r="H4" s="672"/>
      <c r="I4" s="671" t="s">
        <v>295</v>
      </c>
      <c r="J4" s="673"/>
      <c r="K4" s="672"/>
      <c r="L4" s="671" t="s">
        <v>312</v>
      </c>
      <c r="M4" s="673"/>
      <c r="N4" s="672"/>
      <c r="O4" s="660" t="s">
        <v>33</v>
      </c>
      <c r="P4" s="660" t="s">
        <v>95</v>
      </c>
      <c r="Q4"/>
      <c r="R4" s="671" t="s">
        <v>311</v>
      </c>
      <c r="S4" s="672"/>
    </row>
    <row r="5" spans="1:19" s="36" customFormat="1" ht="22.5" x14ac:dyDescent="0.25">
      <c r="B5" s="662"/>
      <c r="C5" s="61" t="s">
        <v>16</v>
      </c>
      <c r="D5" s="61" t="s">
        <v>94</v>
      </c>
      <c r="E5" s="62" t="s">
        <v>0</v>
      </c>
      <c r="F5" s="321" t="s">
        <v>1</v>
      </c>
      <c r="G5" s="359"/>
      <c r="H5" s="321" t="s">
        <v>34</v>
      </c>
      <c r="I5" s="35" t="s">
        <v>1</v>
      </c>
      <c r="J5" s="359"/>
      <c r="K5" s="321" t="s">
        <v>34</v>
      </c>
      <c r="L5" s="35" t="s">
        <v>1</v>
      </c>
      <c r="M5" s="359"/>
      <c r="N5" s="321" t="s">
        <v>34</v>
      </c>
      <c r="O5" s="660"/>
      <c r="P5" s="660"/>
      <c r="Q5"/>
      <c r="R5" s="35" t="s">
        <v>1</v>
      </c>
      <c r="S5" s="321" t="s">
        <v>34</v>
      </c>
    </row>
    <row r="6" spans="1:19" s="6" customFormat="1" ht="22.5" x14ac:dyDescent="0.25">
      <c r="B6" s="55">
        <v>1</v>
      </c>
      <c r="C6" s="56" t="s">
        <v>17</v>
      </c>
      <c r="D6" s="37" t="s">
        <v>306</v>
      </c>
      <c r="E6" s="38">
        <v>85</v>
      </c>
      <c r="F6" s="40">
        <f>G6*1.07</f>
        <v>533716</v>
      </c>
      <c r="G6" s="40">
        <v>498799.99999999994</v>
      </c>
      <c r="H6" s="40">
        <f t="shared" ref="H6:H23" si="0">E6*F6</f>
        <v>45365860</v>
      </c>
      <c r="I6" s="40">
        <f>J6*1.07</f>
        <v>604550</v>
      </c>
      <c r="J6" s="40">
        <v>565000</v>
      </c>
      <c r="K6" s="40">
        <f t="shared" ref="K6:K23" si="1">E6*I6</f>
        <v>51386750</v>
      </c>
      <c r="L6" s="40">
        <f>M6*1.07</f>
        <v>490273.99999999994</v>
      </c>
      <c r="M6" s="40">
        <v>458199.99999999994</v>
      </c>
      <c r="N6" s="40">
        <f t="shared" ref="N6:N23" si="2">E6*L6</f>
        <v>41673289.999999993</v>
      </c>
      <c r="O6" s="81">
        <f>(F6+I6+L6)/3</f>
        <v>542846.66666666663</v>
      </c>
      <c r="P6" s="39">
        <f t="shared" ref="P6:P23" si="3">E6*O6</f>
        <v>46141966.666666664</v>
      </c>
      <c r="Q6" s="10"/>
      <c r="R6" s="40">
        <v>680200</v>
      </c>
      <c r="S6" s="40">
        <f t="shared" ref="S6:S23" si="4">E6*R6</f>
        <v>57817000</v>
      </c>
    </row>
    <row r="7" spans="1:19" s="6" customFormat="1" ht="22.5" x14ac:dyDescent="0.25">
      <c r="B7" s="55">
        <v>2</v>
      </c>
      <c r="C7" s="56" t="s">
        <v>18</v>
      </c>
      <c r="D7" s="37" t="s">
        <v>306</v>
      </c>
      <c r="E7" s="38">
        <v>60</v>
      </c>
      <c r="F7" s="40">
        <f t="shared" ref="F7:F23" si="5">G7*1.07</f>
        <v>533716</v>
      </c>
      <c r="G7" s="40">
        <v>498799.99999999994</v>
      </c>
      <c r="H7" s="40">
        <f t="shared" si="0"/>
        <v>32022960</v>
      </c>
      <c r="I7" s="40">
        <f t="shared" ref="I7:I23" si="6">J7*1.07</f>
        <v>604550</v>
      </c>
      <c r="J7" s="40">
        <v>565000</v>
      </c>
      <c r="K7" s="40">
        <f t="shared" si="1"/>
        <v>36273000</v>
      </c>
      <c r="L7" s="40">
        <f t="shared" ref="L7:L23" si="7">M7*1.07</f>
        <v>490273.99999999994</v>
      </c>
      <c r="M7" s="40">
        <v>458199.99999999994</v>
      </c>
      <c r="N7" s="40">
        <f t="shared" si="2"/>
        <v>29416439.999999996</v>
      </c>
      <c r="O7" s="81">
        <f t="shared" ref="O7:O22" si="8">(F7+I7+L7)/3</f>
        <v>542846.66666666663</v>
      </c>
      <c r="P7" s="39">
        <f t="shared" si="3"/>
        <v>32570799.999999996</v>
      </c>
      <c r="R7" s="40">
        <v>680200</v>
      </c>
      <c r="S7" s="40">
        <f t="shared" si="4"/>
        <v>40812000</v>
      </c>
    </row>
    <row r="8" spans="1:19" s="6" customFormat="1" ht="15" x14ac:dyDescent="0.25">
      <c r="B8" s="55">
        <v>3</v>
      </c>
      <c r="C8" s="56" t="s">
        <v>19</v>
      </c>
      <c r="D8" s="37" t="s">
        <v>306</v>
      </c>
      <c r="E8" s="38">
        <v>4</v>
      </c>
      <c r="F8" s="40">
        <f t="shared" si="5"/>
        <v>558540</v>
      </c>
      <c r="G8" s="40">
        <v>521999.99999999994</v>
      </c>
      <c r="H8" s="40">
        <f t="shared" si="0"/>
        <v>2234160</v>
      </c>
      <c r="I8" s="40">
        <f t="shared" si="6"/>
        <v>925550</v>
      </c>
      <c r="J8" s="40">
        <v>865000</v>
      </c>
      <c r="K8" s="40">
        <f t="shared" si="1"/>
        <v>3702200</v>
      </c>
      <c r="L8" s="40">
        <f t="shared" si="7"/>
        <v>490273.99999999994</v>
      </c>
      <c r="M8" s="40">
        <v>458199.99999999994</v>
      </c>
      <c r="N8" s="40">
        <f t="shared" si="2"/>
        <v>1961095.9999999998</v>
      </c>
      <c r="O8" s="81">
        <f t="shared" si="8"/>
        <v>658121.33333333337</v>
      </c>
      <c r="P8" s="39">
        <f t="shared" si="3"/>
        <v>2632485.3333333335</v>
      </c>
      <c r="R8" s="40">
        <v>895630</v>
      </c>
      <c r="S8" s="40">
        <f t="shared" si="4"/>
        <v>3582520</v>
      </c>
    </row>
    <row r="9" spans="1:19" s="6" customFormat="1" ht="15" x14ac:dyDescent="0.25">
      <c r="B9" s="55">
        <v>4</v>
      </c>
      <c r="C9" s="56" t="s">
        <v>20</v>
      </c>
      <c r="D9" s="37" t="s">
        <v>306</v>
      </c>
      <c r="E9" s="38">
        <v>3</v>
      </c>
      <c r="F9" s="40">
        <f t="shared" si="5"/>
        <v>558540</v>
      </c>
      <c r="G9" s="40">
        <v>521999.99999999994</v>
      </c>
      <c r="H9" s="40">
        <f t="shared" si="0"/>
        <v>1675620</v>
      </c>
      <c r="I9" s="40">
        <f t="shared" si="6"/>
        <v>604550</v>
      </c>
      <c r="J9" s="40">
        <v>565000</v>
      </c>
      <c r="K9" s="40">
        <f t="shared" si="1"/>
        <v>1813650</v>
      </c>
      <c r="L9" s="40">
        <f t="shared" si="7"/>
        <v>490273.99999999994</v>
      </c>
      <c r="M9" s="40">
        <v>458199.99999999994</v>
      </c>
      <c r="N9" s="40">
        <f t="shared" si="2"/>
        <v>1470821.9999999998</v>
      </c>
      <c r="O9" s="81">
        <f t="shared" si="8"/>
        <v>551121.33333333337</v>
      </c>
      <c r="P9" s="39">
        <f t="shared" si="3"/>
        <v>1653364</v>
      </c>
      <c r="R9" s="40">
        <v>680200</v>
      </c>
      <c r="S9" s="40">
        <f t="shared" si="4"/>
        <v>2040600</v>
      </c>
    </row>
    <row r="10" spans="1:19" s="6" customFormat="1" ht="15" x14ac:dyDescent="0.25">
      <c r="B10" s="55">
        <v>5</v>
      </c>
      <c r="C10" s="56" t="s">
        <v>308</v>
      </c>
      <c r="D10" s="37" t="s">
        <v>306</v>
      </c>
      <c r="E10" s="38">
        <v>3</v>
      </c>
      <c r="F10" s="40">
        <f t="shared" si="5"/>
        <v>558540</v>
      </c>
      <c r="G10" s="40">
        <v>521999.99999999994</v>
      </c>
      <c r="H10" s="40">
        <f t="shared" si="0"/>
        <v>1675620</v>
      </c>
      <c r="I10" s="40">
        <f t="shared" si="6"/>
        <v>963000</v>
      </c>
      <c r="J10" s="40">
        <v>900000</v>
      </c>
      <c r="K10" s="40">
        <f t="shared" si="1"/>
        <v>2889000</v>
      </c>
      <c r="L10" s="40">
        <f t="shared" si="7"/>
        <v>490273.99999999994</v>
      </c>
      <c r="M10" s="40">
        <v>458199.99999999994</v>
      </c>
      <c r="N10" s="40">
        <f t="shared" si="2"/>
        <v>1470821.9999999998</v>
      </c>
      <c r="O10" s="81">
        <f t="shared" si="8"/>
        <v>670604.66666666663</v>
      </c>
      <c r="P10" s="39">
        <f t="shared" si="3"/>
        <v>2011814</v>
      </c>
      <c r="R10" s="40">
        <v>920000</v>
      </c>
      <c r="S10" s="40">
        <f t="shared" si="4"/>
        <v>2760000</v>
      </c>
    </row>
    <row r="11" spans="1:19" s="6" customFormat="1" ht="15" x14ac:dyDescent="0.25">
      <c r="B11" s="55">
        <v>6</v>
      </c>
      <c r="C11" s="56" t="s">
        <v>21</v>
      </c>
      <c r="D11" s="37" t="s">
        <v>306</v>
      </c>
      <c r="E11" s="38">
        <v>18</v>
      </c>
      <c r="F11" s="40">
        <f t="shared" si="5"/>
        <v>304094</v>
      </c>
      <c r="G11" s="40">
        <v>284200</v>
      </c>
      <c r="H11" s="40">
        <f t="shared" si="0"/>
        <v>5473692</v>
      </c>
      <c r="I11" s="40">
        <f t="shared" si="6"/>
        <v>363800</v>
      </c>
      <c r="J11" s="40">
        <v>340000</v>
      </c>
      <c r="K11" s="40">
        <f t="shared" si="1"/>
        <v>6548400</v>
      </c>
      <c r="L11" s="40">
        <f t="shared" si="7"/>
        <v>297888</v>
      </c>
      <c r="M11" s="40">
        <v>278400</v>
      </c>
      <c r="N11" s="40">
        <f t="shared" si="2"/>
        <v>5361984</v>
      </c>
      <c r="O11" s="81">
        <f t="shared" si="8"/>
        <v>321927.33333333331</v>
      </c>
      <c r="P11" s="39">
        <f t="shared" si="3"/>
        <v>5794692</v>
      </c>
      <c r="Q11" s="10"/>
      <c r="R11" s="40">
        <v>365000</v>
      </c>
      <c r="S11" s="40">
        <f t="shared" si="4"/>
        <v>6570000</v>
      </c>
    </row>
    <row r="12" spans="1:19" s="6" customFormat="1" ht="13.5" customHeight="1" x14ac:dyDescent="0.25">
      <c r="B12" s="55">
        <v>7</v>
      </c>
      <c r="C12" s="56" t="s">
        <v>22</v>
      </c>
      <c r="D12" s="38" t="s">
        <v>13</v>
      </c>
      <c r="E12" s="38">
        <v>14</v>
      </c>
      <c r="F12" s="40">
        <f t="shared" si="5"/>
        <v>16135.599999999999</v>
      </c>
      <c r="G12" s="40">
        <v>15079.999999999998</v>
      </c>
      <c r="H12" s="40">
        <f t="shared" si="0"/>
        <v>225898.39999999997</v>
      </c>
      <c r="I12" s="40">
        <f t="shared" si="6"/>
        <v>16050.000000000002</v>
      </c>
      <c r="J12" s="40">
        <v>15000</v>
      </c>
      <c r="K12" s="40">
        <f t="shared" si="1"/>
        <v>224700.00000000003</v>
      </c>
      <c r="L12" s="40">
        <f t="shared" si="7"/>
        <v>10550.2</v>
      </c>
      <c r="M12" s="40">
        <v>9860</v>
      </c>
      <c r="N12" s="40">
        <f t="shared" si="2"/>
        <v>147702.80000000002</v>
      </c>
      <c r="O12" s="81">
        <f t="shared" si="8"/>
        <v>14245.266666666668</v>
      </c>
      <c r="P12" s="39">
        <f t="shared" si="3"/>
        <v>199433.73333333337</v>
      </c>
      <c r="Q12" s="10"/>
      <c r="R12" s="40">
        <v>20000</v>
      </c>
      <c r="S12" s="40">
        <f t="shared" si="4"/>
        <v>280000</v>
      </c>
    </row>
    <row r="13" spans="1:19" s="6" customFormat="1" ht="13.5" customHeight="1" x14ac:dyDescent="0.25">
      <c r="B13" s="55">
        <v>8</v>
      </c>
      <c r="C13" s="56" t="s">
        <v>23</v>
      </c>
      <c r="D13" s="38" t="s">
        <v>13</v>
      </c>
      <c r="E13" s="38">
        <v>14</v>
      </c>
      <c r="F13" s="40">
        <f t="shared" si="5"/>
        <v>12412</v>
      </c>
      <c r="G13" s="40">
        <v>11600</v>
      </c>
      <c r="H13" s="40">
        <f t="shared" si="0"/>
        <v>173768</v>
      </c>
      <c r="I13" s="40">
        <f t="shared" si="6"/>
        <v>12840</v>
      </c>
      <c r="J13" s="40">
        <v>12000</v>
      </c>
      <c r="K13" s="40">
        <f t="shared" si="1"/>
        <v>179760</v>
      </c>
      <c r="L13" s="40">
        <f t="shared" si="7"/>
        <v>8067.7999999999993</v>
      </c>
      <c r="M13" s="40">
        <v>7539.9999999999991</v>
      </c>
      <c r="N13" s="40">
        <f t="shared" si="2"/>
        <v>112949.19999999998</v>
      </c>
      <c r="O13" s="81">
        <f t="shared" si="8"/>
        <v>11106.6</v>
      </c>
      <c r="P13" s="39">
        <f t="shared" si="3"/>
        <v>155492.4</v>
      </c>
      <c r="R13" s="40">
        <v>16000</v>
      </c>
      <c r="S13" s="40">
        <f t="shared" si="4"/>
        <v>224000</v>
      </c>
    </row>
    <row r="14" spans="1:19" s="6" customFormat="1" ht="13.5" customHeight="1" x14ac:dyDescent="0.25">
      <c r="B14" s="55">
        <v>9</v>
      </c>
      <c r="C14" s="56" t="s">
        <v>24</v>
      </c>
      <c r="D14" s="38" t="s">
        <v>15</v>
      </c>
      <c r="E14" s="38">
        <v>38</v>
      </c>
      <c r="F14" s="40">
        <f t="shared" si="5"/>
        <v>24824</v>
      </c>
      <c r="G14" s="40">
        <v>23200</v>
      </c>
      <c r="H14" s="40">
        <f t="shared" si="0"/>
        <v>943312</v>
      </c>
      <c r="I14" s="40">
        <f t="shared" si="6"/>
        <v>20330</v>
      </c>
      <c r="J14" s="40">
        <v>19000</v>
      </c>
      <c r="K14" s="40">
        <f t="shared" si="1"/>
        <v>772540</v>
      </c>
      <c r="L14" s="40">
        <f t="shared" si="7"/>
        <v>43442</v>
      </c>
      <c r="M14" s="40">
        <v>40600</v>
      </c>
      <c r="N14" s="40">
        <f t="shared" si="2"/>
        <v>1650796</v>
      </c>
      <c r="O14" s="81">
        <f t="shared" si="8"/>
        <v>29532</v>
      </c>
      <c r="P14" s="39">
        <f t="shared" si="3"/>
        <v>1122216</v>
      </c>
      <c r="R14" s="40">
        <v>22000</v>
      </c>
      <c r="S14" s="40">
        <f t="shared" si="4"/>
        <v>836000</v>
      </c>
    </row>
    <row r="15" spans="1:19" s="6" customFormat="1" ht="13.5" customHeight="1" x14ac:dyDescent="0.25">
      <c r="B15" s="55">
        <v>10</v>
      </c>
      <c r="C15" s="56" t="s">
        <v>25</v>
      </c>
      <c r="D15" s="38" t="s">
        <v>26</v>
      </c>
      <c r="E15" s="38">
        <v>5</v>
      </c>
      <c r="F15" s="40">
        <f t="shared" si="5"/>
        <v>49399.76</v>
      </c>
      <c r="G15" s="322">
        <v>46168</v>
      </c>
      <c r="H15" s="40">
        <f t="shared" si="0"/>
        <v>246998.80000000002</v>
      </c>
      <c r="I15" s="40">
        <f t="shared" si="6"/>
        <v>40660</v>
      </c>
      <c r="J15" s="132">
        <v>38000</v>
      </c>
      <c r="K15" s="40">
        <f t="shared" si="1"/>
        <v>203300</v>
      </c>
      <c r="L15" s="40">
        <f t="shared" si="7"/>
        <v>48406.8</v>
      </c>
      <c r="M15" s="40">
        <v>45240</v>
      </c>
      <c r="N15" s="40">
        <f t="shared" si="2"/>
        <v>242034</v>
      </c>
      <c r="O15" s="81">
        <f t="shared" si="8"/>
        <v>46155.519999999997</v>
      </c>
      <c r="P15" s="39">
        <f t="shared" si="3"/>
        <v>230777.59999999998</v>
      </c>
      <c r="R15" s="40">
        <v>42000</v>
      </c>
      <c r="S15" s="40">
        <f t="shared" si="4"/>
        <v>210000</v>
      </c>
    </row>
    <row r="16" spans="1:19" s="6" customFormat="1" ht="13.5" customHeight="1" x14ac:dyDescent="0.25">
      <c r="B16" s="55">
        <v>11</v>
      </c>
      <c r="C16" s="56" t="s">
        <v>27</v>
      </c>
      <c r="D16" s="38" t="s">
        <v>28</v>
      </c>
      <c r="E16" s="38">
        <v>25</v>
      </c>
      <c r="F16" s="40">
        <f t="shared" si="5"/>
        <v>24824</v>
      </c>
      <c r="G16" s="40">
        <v>23200</v>
      </c>
      <c r="H16" s="40">
        <f t="shared" si="0"/>
        <v>620600</v>
      </c>
      <c r="I16" s="40">
        <f t="shared" si="6"/>
        <v>37450</v>
      </c>
      <c r="J16" s="40">
        <v>35000</v>
      </c>
      <c r="K16" s="40">
        <f t="shared" si="1"/>
        <v>936250</v>
      </c>
      <c r="L16" s="40">
        <f t="shared" si="7"/>
        <v>39718.400000000001</v>
      </c>
      <c r="M16" s="40">
        <v>37120</v>
      </c>
      <c r="N16" s="40">
        <f t="shared" si="2"/>
        <v>992960</v>
      </c>
      <c r="O16" s="81">
        <f t="shared" si="8"/>
        <v>33997.466666666667</v>
      </c>
      <c r="P16" s="39">
        <f t="shared" si="3"/>
        <v>849936.66666666663</v>
      </c>
      <c r="R16" s="40">
        <v>38500</v>
      </c>
      <c r="S16" s="40">
        <f t="shared" si="4"/>
        <v>962500</v>
      </c>
    </row>
    <row r="17" spans="2:19" s="6" customFormat="1" ht="22.5" customHeight="1" x14ac:dyDescent="0.25">
      <c r="B17" s="55">
        <v>12</v>
      </c>
      <c r="C17" s="318" t="s">
        <v>29</v>
      </c>
      <c r="D17" s="38" t="s">
        <v>30</v>
      </c>
      <c r="E17" s="38">
        <v>18</v>
      </c>
      <c r="F17" s="40">
        <f t="shared" si="5"/>
        <v>52130.400000000001</v>
      </c>
      <c r="G17" s="40">
        <v>48720</v>
      </c>
      <c r="H17" s="40">
        <f t="shared" si="0"/>
        <v>938347.20000000007</v>
      </c>
      <c r="I17" s="40">
        <f t="shared" si="6"/>
        <v>44940</v>
      </c>
      <c r="J17" s="40">
        <v>42000</v>
      </c>
      <c r="K17" s="40">
        <f t="shared" si="1"/>
        <v>808920</v>
      </c>
      <c r="L17" s="40">
        <f t="shared" si="7"/>
        <v>59577.599999999999</v>
      </c>
      <c r="M17" s="40">
        <v>55679.999999999993</v>
      </c>
      <c r="N17" s="40">
        <f t="shared" si="2"/>
        <v>1072396.8</v>
      </c>
      <c r="O17" s="81">
        <f t="shared" si="8"/>
        <v>52216</v>
      </c>
      <c r="P17" s="39">
        <f t="shared" si="3"/>
        <v>939888</v>
      </c>
      <c r="R17" s="40">
        <v>42000</v>
      </c>
      <c r="S17" s="40">
        <f t="shared" si="4"/>
        <v>756000</v>
      </c>
    </row>
    <row r="18" spans="2:19" s="6" customFormat="1" ht="13.5" customHeight="1" x14ac:dyDescent="0.25">
      <c r="B18" s="55">
        <v>13</v>
      </c>
      <c r="C18" s="56" t="s">
        <v>313</v>
      </c>
      <c r="D18" s="38" t="s">
        <v>13</v>
      </c>
      <c r="E18" s="38">
        <v>35</v>
      </c>
      <c r="F18" s="40">
        <f t="shared" si="5"/>
        <v>17997.400000000001</v>
      </c>
      <c r="G18" s="40">
        <v>16820</v>
      </c>
      <c r="H18" s="40">
        <f t="shared" si="0"/>
        <v>629909</v>
      </c>
      <c r="I18" s="40">
        <f t="shared" si="6"/>
        <v>13161</v>
      </c>
      <c r="J18" s="40">
        <v>12300</v>
      </c>
      <c r="K18" s="40">
        <f t="shared" si="1"/>
        <v>460635</v>
      </c>
      <c r="L18" s="40">
        <f t="shared" si="7"/>
        <v>12287.880000000001</v>
      </c>
      <c r="M18" s="40">
        <v>11484</v>
      </c>
      <c r="N18" s="40">
        <f t="shared" si="2"/>
        <v>430075.80000000005</v>
      </c>
      <c r="O18" s="81">
        <f t="shared" si="8"/>
        <v>14482.093333333332</v>
      </c>
      <c r="P18" s="39">
        <f t="shared" si="3"/>
        <v>506873.2666666666</v>
      </c>
      <c r="R18" s="40">
        <v>15500</v>
      </c>
      <c r="S18" s="40">
        <f t="shared" si="4"/>
        <v>542500</v>
      </c>
    </row>
    <row r="19" spans="2:19" s="6" customFormat="1" ht="13.5" customHeight="1" x14ac:dyDescent="0.25">
      <c r="B19" s="55">
        <v>14</v>
      </c>
      <c r="C19" s="56" t="s">
        <v>314</v>
      </c>
      <c r="D19" s="38" t="s">
        <v>13</v>
      </c>
      <c r="E19" s="38">
        <v>25</v>
      </c>
      <c r="F19" s="40">
        <f t="shared" si="5"/>
        <v>16135.599999999999</v>
      </c>
      <c r="G19" s="40">
        <v>15079.999999999998</v>
      </c>
      <c r="H19" s="40">
        <f t="shared" si="0"/>
        <v>403389.99999999994</v>
      </c>
      <c r="I19" s="40">
        <f t="shared" si="6"/>
        <v>9844</v>
      </c>
      <c r="J19" s="40">
        <v>9200</v>
      </c>
      <c r="K19" s="40">
        <f t="shared" si="1"/>
        <v>246100</v>
      </c>
      <c r="L19" s="40">
        <f t="shared" si="7"/>
        <v>11170.800000000001</v>
      </c>
      <c r="M19" s="40">
        <v>10440</v>
      </c>
      <c r="N19" s="40">
        <f t="shared" si="2"/>
        <v>279270</v>
      </c>
      <c r="O19" s="81">
        <f t="shared" si="8"/>
        <v>12383.466666666667</v>
      </c>
      <c r="P19" s="39">
        <f t="shared" si="3"/>
        <v>309586.66666666669</v>
      </c>
      <c r="R19" s="40">
        <v>13000</v>
      </c>
      <c r="S19" s="40">
        <f t="shared" si="4"/>
        <v>325000</v>
      </c>
    </row>
    <row r="20" spans="2:19" s="6" customFormat="1" ht="13.5" customHeight="1" x14ac:dyDescent="0.25">
      <c r="B20" s="55">
        <v>15</v>
      </c>
      <c r="C20" s="56" t="s">
        <v>309</v>
      </c>
      <c r="D20" s="38" t="s">
        <v>30</v>
      </c>
      <c r="E20" s="38">
        <v>30</v>
      </c>
      <c r="F20" s="40">
        <f t="shared" si="5"/>
        <v>14894.4</v>
      </c>
      <c r="G20" s="40">
        <v>13919.999999999998</v>
      </c>
      <c r="H20" s="40">
        <f t="shared" si="0"/>
        <v>446832</v>
      </c>
      <c r="I20" s="40">
        <f t="shared" si="6"/>
        <v>10700</v>
      </c>
      <c r="J20" s="40">
        <v>10000</v>
      </c>
      <c r="K20" s="40">
        <f t="shared" si="1"/>
        <v>321000</v>
      </c>
      <c r="L20" s="40">
        <f t="shared" si="7"/>
        <v>24203.4</v>
      </c>
      <c r="M20" s="40">
        <v>22620</v>
      </c>
      <c r="N20" s="40">
        <f t="shared" si="2"/>
        <v>726102</v>
      </c>
      <c r="O20" s="81">
        <f t="shared" si="8"/>
        <v>16599.266666666666</v>
      </c>
      <c r="P20" s="39">
        <f t="shared" si="3"/>
        <v>497978</v>
      </c>
      <c r="R20" s="40">
        <v>11000</v>
      </c>
      <c r="S20" s="40">
        <f t="shared" si="4"/>
        <v>330000</v>
      </c>
    </row>
    <row r="21" spans="2:19" s="6" customFormat="1" ht="13.5" customHeight="1" x14ac:dyDescent="0.25">
      <c r="B21" s="55">
        <v>16</v>
      </c>
      <c r="C21" s="56" t="s">
        <v>31</v>
      </c>
      <c r="D21" s="41" t="s">
        <v>13</v>
      </c>
      <c r="E21" s="38">
        <v>15</v>
      </c>
      <c r="F21" s="40">
        <f t="shared" si="5"/>
        <v>2234.1600000000003</v>
      </c>
      <c r="G21" s="40">
        <v>2088</v>
      </c>
      <c r="H21" s="40">
        <f t="shared" si="0"/>
        <v>33512.400000000001</v>
      </c>
      <c r="I21" s="40">
        <f t="shared" si="6"/>
        <v>1926</v>
      </c>
      <c r="J21" s="40">
        <v>1800</v>
      </c>
      <c r="K21" s="40">
        <f t="shared" si="1"/>
        <v>28890</v>
      </c>
      <c r="L21" s="40">
        <f t="shared" si="7"/>
        <v>2234.1600000000003</v>
      </c>
      <c r="M21" s="40">
        <v>2088</v>
      </c>
      <c r="N21" s="40">
        <f t="shared" si="2"/>
        <v>33512.400000000001</v>
      </c>
      <c r="O21" s="81">
        <f t="shared" si="8"/>
        <v>2131.44</v>
      </c>
      <c r="P21" s="39">
        <f t="shared" si="3"/>
        <v>31971.600000000002</v>
      </c>
      <c r="R21" s="40">
        <v>2000</v>
      </c>
      <c r="S21" s="40">
        <f t="shared" si="4"/>
        <v>30000</v>
      </c>
    </row>
    <row r="22" spans="2:19" s="6" customFormat="1" ht="13.5" customHeight="1" x14ac:dyDescent="0.25">
      <c r="B22" s="55">
        <v>17</v>
      </c>
      <c r="C22" s="56" t="s">
        <v>32</v>
      </c>
      <c r="D22" s="41" t="s">
        <v>13</v>
      </c>
      <c r="E22" s="38">
        <v>15</v>
      </c>
      <c r="F22" s="40">
        <f t="shared" si="5"/>
        <v>2234.1600000000003</v>
      </c>
      <c r="G22" s="40">
        <v>2088</v>
      </c>
      <c r="H22" s="40">
        <f t="shared" si="0"/>
        <v>33512.400000000001</v>
      </c>
      <c r="I22" s="40">
        <f t="shared" si="6"/>
        <v>1926</v>
      </c>
      <c r="J22" s="40">
        <v>1800</v>
      </c>
      <c r="K22" s="40">
        <f t="shared" si="1"/>
        <v>28890</v>
      </c>
      <c r="L22" s="40">
        <f t="shared" si="7"/>
        <v>2234.1600000000003</v>
      </c>
      <c r="M22" s="40">
        <v>2088</v>
      </c>
      <c r="N22" s="40">
        <f t="shared" si="2"/>
        <v>33512.400000000001</v>
      </c>
      <c r="O22" s="81">
        <f t="shared" si="8"/>
        <v>2131.44</v>
      </c>
      <c r="P22" s="39">
        <f t="shared" si="3"/>
        <v>31971.600000000002</v>
      </c>
      <c r="R22" s="40">
        <v>2000</v>
      </c>
      <c r="S22" s="40">
        <f t="shared" si="4"/>
        <v>30000</v>
      </c>
    </row>
    <row r="23" spans="2:19" s="6" customFormat="1" ht="33.75" customHeight="1" x14ac:dyDescent="0.25">
      <c r="B23" s="55">
        <v>18</v>
      </c>
      <c r="C23" s="56" t="s">
        <v>310</v>
      </c>
      <c r="D23" s="41" t="s">
        <v>13</v>
      </c>
      <c r="E23" s="38">
        <v>250</v>
      </c>
      <c r="F23" s="40">
        <f t="shared" si="5"/>
        <v>136532</v>
      </c>
      <c r="G23" s="40">
        <v>127599.99999999999</v>
      </c>
      <c r="H23" s="40">
        <f t="shared" si="0"/>
        <v>34133000</v>
      </c>
      <c r="I23" s="40">
        <f t="shared" si="6"/>
        <v>107000</v>
      </c>
      <c r="J23" s="40">
        <v>100000</v>
      </c>
      <c r="K23" s="40">
        <f t="shared" si="1"/>
        <v>26750000</v>
      </c>
      <c r="L23" s="40">
        <f t="shared" si="7"/>
        <v>167562</v>
      </c>
      <c r="M23" s="40">
        <v>156600</v>
      </c>
      <c r="N23" s="40">
        <f t="shared" si="2"/>
        <v>41890500</v>
      </c>
      <c r="O23" s="81">
        <f>(F23+I23+L23)/3</f>
        <v>137031.33333333334</v>
      </c>
      <c r="P23" s="39">
        <f t="shared" si="3"/>
        <v>34257833.333333336</v>
      </c>
      <c r="R23" s="40">
        <v>135000</v>
      </c>
      <c r="S23" s="40">
        <f t="shared" si="4"/>
        <v>33750000</v>
      </c>
    </row>
    <row r="24" spans="2:19" s="6" customFormat="1" ht="21.75" customHeight="1" x14ac:dyDescent="0.25">
      <c r="B24" s="674"/>
      <c r="C24" s="675"/>
      <c r="D24" s="676"/>
      <c r="E24" s="677"/>
      <c r="F24" s="324" t="s">
        <v>318</v>
      </c>
      <c r="G24" s="324"/>
      <c r="H24" s="325">
        <f>SUM(H6:H23)</f>
        <v>127276992.20000002</v>
      </c>
      <c r="I24" s="324" t="s">
        <v>318</v>
      </c>
      <c r="J24" s="324"/>
      <c r="K24" s="325">
        <f>SUM(K6:K23)</f>
        <v>133573985</v>
      </c>
      <c r="L24" s="324" t="s">
        <v>318</v>
      </c>
      <c r="M24" s="324"/>
      <c r="N24" s="325">
        <f>SUM(N6:N23)</f>
        <v>128966265.39999999</v>
      </c>
      <c r="O24" s="324" t="s">
        <v>319</v>
      </c>
      <c r="P24" s="334">
        <f>SUM(P6:P23)</f>
        <v>129939080.86666664</v>
      </c>
      <c r="R24" s="323"/>
      <c r="S24" s="323"/>
    </row>
    <row r="25" spans="2:19" ht="12.75" customHeight="1" x14ac:dyDescent="0.25">
      <c r="B25" s="667" t="s">
        <v>296</v>
      </c>
      <c r="C25" s="668"/>
      <c r="D25" s="668"/>
      <c r="E25" s="668"/>
      <c r="F25" s="668"/>
      <c r="G25" s="669"/>
      <c r="H25" s="668"/>
      <c r="I25" s="668"/>
      <c r="J25" s="669"/>
      <c r="K25" s="668"/>
      <c r="L25" s="668"/>
      <c r="M25" s="669"/>
      <c r="N25" s="668"/>
      <c r="O25" s="668"/>
      <c r="P25" s="670"/>
    </row>
    <row r="26" spans="2:19" x14ac:dyDescent="0.25">
      <c r="D26" s="335"/>
      <c r="E26" s="336"/>
      <c r="F26" s="337"/>
      <c r="G26" s="337"/>
      <c r="H26" s="337"/>
      <c r="I26" s="338"/>
      <c r="J26" s="338"/>
      <c r="K26" s="338"/>
    </row>
    <row r="27" spans="2:19" s="7" customFormat="1" ht="70.5" customHeight="1" x14ac:dyDescent="0.25">
      <c r="C27" s="1"/>
      <c r="D27" s="344"/>
      <c r="E27" s="344"/>
      <c r="F27" s="344"/>
      <c r="G27" s="344"/>
      <c r="H27" s="320" t="s">
        <v>420</v>
      </c>
      <c r="I27" s="346"/>
      <c r="J27" s="346"/>
      <c r="K27" s="346"/>
      <c r="L27" s="333"/>
      <c r="M27" s="333"/>
      <c r="N27" s="332"/>
    </row>
    <row r="28" spans="2:19" ht="15" x14ac:dyDescent="0.25">
      <c r="D28" s="344"/>
      <c r="E28" s="344"/>
      <c r="F28" s="344"/>
      <c r="G28" s="344"/>
      <c r="H28" s="319" t="s">
        <v>434</v>
      </c>
      <c r="I28" s="344"/>
      <c r="J28" s="344"/>
      <c r="K28" s="344"/>
    </row>
    <row r="29" spans="2:19" x14ac:dyDescent="0.25">
      <c r="E29" s="1"/>
      <c r="F29" s="326"/>
      <c r="G29" s="326"/>
      <c r="H29" s="1"/>
      <c r="I29" s="1"/>
      <c r="J29" s="1"/>
      <c r="K29" s="1"/>
      <c r="P29" s="3"/>
    </row>
    <row r="30" spans="2:19" x14ac:dyDescent="0.25">
      <c r="C30" s="327"/>
      <c r="N30" s="5"/>
    </row>
    <row r="31" spans="2:19" x14ac:dyDescent="0.25">
      <c r="C31" s="328"/>
      <c r="E31" s="1"/>
      <c r="I31" s="1"/>
      <c r="J31" s="1"/>
      <c r="K31" s="1"/>
      <c r="O31" s="328"/>
      <c r="P31" s="3"/>
    </row>
    <row r="32" spans="2:19" x14ac:dyDescent="0.25">
      <c r="C32" s="121"/>
      <c r="E32" s="1"/>
      <c r="I32" s="1"/>
      <c r="J32" s="1"/>
      <c r="K32" s="1"/>
      <c r="P32" s="3"/>
    </row>
    <row r="33" spans="3:14" x14ac:dyDescent="0.25">
      <c r="C33" s="36"/>
      <c r="I33" s="1"/>
      <c r="J33" s="1"/>
      <c r="K33" s="1"/>
    </row>
    <row r="34" spans="3:14" x14ac:dyDescent="0.25">
      <c r="C34" s="36"/>
      <c r="I34" s="1"/>
      <c r="J34" s="1"/>
      <c r="K34" s="1"/>
    </row>
    <row r="35" spans="3:14" x14ac:dyDescent="0.25">
      <c r="F35" s="9"/>
      <c r="G35" s="9"/>
      <c r="H35" s="9"/>
      <c r="L35" s="74"/>
      <c r="M35" s="74"/>
      <c r="N35" s="74"/>
    </row>
    <row r="36" spans="3:14" x14ac:dyDescent="0.25">
      <c r="F36" s="9"/>
      <c r="G36" s="9"/>
      <c r="H36" s="9"/>
      <c r="L36" s="74"/>
      <c r="M36" s="74"/>
      <c r="N36" s="74"/>
    </row>
    <row r="37" spans="3:14" x14ac:dyDescent="0.25">
      <c r="F37" s="9"/>
      <c r="G37" s="9"/>
      <c r="H37" s="9"/>
      <c r="L37" s="74"/>
      <c r="M37" s="74"/>
      <c r="N37" s="74"/>
    </row>
    <row r="38" spans="3:14" x14ac:dyDescent="0.25">
      <c r="F38" s="9"/>
      <c r="G38" s="9"/>
      <c r="H38" s="9"/>
    </row>
    <row r="39" spans="3:14" x14ac:dyDescent="0.25">
      <c r="F39" s="9"/>
      <c r="G39" s="9"/>
      <c r="H39" s="9"/>
    </row>
    <row r="40" spans="3:14" x14ac:dyDescent="0.25">
      <c r="F40" s="9"/>
      <c r="G40" s="9"/>
      <c r="H40" s="9"/>
    </row>
    <row r="41" spans="3:14" x14ac:dyDescent="0.25">
      <c r="F41" s="9"/>
      <c r="G41" s="9"/>
      <c r="H41" s="9"/>
    </row>
  </sheetData>
  <mergeCells count="13">
    <mergeCell ref="B25:P25"/>
    <mergeCell ref="R4:S4"/>
    <mergeCell ref="F4:H4"/>
    <mergeCell ref="I4:K4"/>
    <mergeCell ref="L4:N4"/>
    <mergeCell ref="B24:C24"/>
    <mergeCell ref="D24:E24"/>
    <mergeCell ref="B1:P1"/>
    <mergeCell ref="B2:P2"/>
    <mergeCell ref="P4:P5"/>
    <mergeCell ref="O4:O5"/>
    <mergeCell ref="B4:B5"/>
    <mergeCell ref="B3:P3"/>
  </mergeCells>
  <printOptions horizontalCentered="1" verticalCentered="1"/>
  <pageMargins left="0.7" right="0.7" top="0.75" bottom="0.75" header="0.3" footer="0.3"/>
  <pageSetup paperSize="5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S20"/>
  <sheetViews>
    <sheetView topLeftCell="A10" zoomScaleNormal="100" workbookViewId="0">
      <selection activeCell="G17" sqref="G17"/>
    </sheetView>
  </sheetViews>
  <sheetFormatPr baseColWidth="10" defaultColWidth="11" defaultRowHeight="12.75" x14ac:dyDescent="0.25"/>
  <cols>
    <col min="1" max="1" width="16.5703125" style="1" customWidth="1"/>
    <col min="2" max="2" width="4.42578125" style="1" customWidth="1"/>
    <col min="3" max="3" width="33.28515625" style="1" customWidth="1"/>
    <col min="4" max="4" width="12.42578125" style="1" customWidth="1"/>
    <col min="5" max="5" width="9.28515625" style="2" customWidth="1"/>
    <col min="6" max="6" width="10.140625" style="1" customWidth="1"/>
    <col min="7" max="7" width="14.85546875" style="1" customWidth="1"/>
    <col min="8" max="8" width="9.85546875" style="1" customWidth="1"/>
    <col min="9" max="9" width="13" style="1" customWidth="1"/>
    <col min="10" max="10" width="14.5703125" style="1" customWidth="1"/>
    <col min="11" max="11" width="13.7109375" style="1" customWidth="1"/>
    <col min="12" max="12" width="11" style="1" customWidth="1"/>
    <col min="13" max="16384" width="11" style="1"/>
  </cols>
  <sheetData>
    <row r="1" spans="2:19" ht="42" customHeight="1" x14ac:dyDescent="0.25">
      <c r="B1" s="679" t="s">
        <v>356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125"/>
      <c r="N1" s="7"/>
      <c r="O1" s="7"/>
      <c r="P1" s="7"/>
    </row>
    <row r="2" spans="2:19" ht="18" x14ac:dyDescent="0.25">
      <c r="B2" s="646" t="s">
        <v>293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</row>
    <row r="3" spans="2:19" s="80" customFormat="1" ht="16.5" customHeight="1" x14ac:dyDescent="0.25">
      <c r="B3" s="680" t="s">
        <v>413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71"/>
    </row>
    <row r="4" spans="2:19" ht="32.25" customHeight="1" x14ac:dyDescent="0.25">
      <c r="B4" s="660" t="s">
        <v>205</v>
      </c>
      <c r="C4" s="660"/>
      <c r="D4" s="660"/>
      <c r="E4" s="660"/>
      <c r="F4" s="60" t="s">
        <v>315</v>
      </c>
      <c r="G4" s="60" t="s">
        <v>316</v>
      </c>
      <c r="H4" s="60" t="s">
        <v>317</v>
      </c>
      <c r="I4" s="662" t="s">
        <v>33</v>
      </c>
      <c r="J4" s="662" t="s">
        <v>299</v>
      </c>
      <c r="K4" s="681" t="s">
        <v>204</v>
      </c>
      <c r="L4" s="681" t="s">
        <v>300</v>
      </c>
      <c r="M4" s="71"/>
    </row>
    <row r="5" spans="2:19" ht="22.5" x14ac:dyDescent="0.25">
      <c r="B5" s="70" t="s">
        <v>5</v>
      </c>
      <c r="C5" s="122" t="s">
        <v>205</v>
      </c>
      <c r="D5" s="122" t="s">
        <v>94</v>
      </c>
      <c r="E5" s="123" t="s">
        <v>0</v>
      </c>
      <c r="F5" s="133" t="s">
        <v>1</v>
      </c>
      <c r="G5" s="303" t="s">
        <v>1</v>
      </c>
      <c r="H5" s="303" t="s">
        <v>1</v>
      </c>
      <c r="I5" s="662"/>
      <c r="J5" s="662"/>
      <c r="K5" s="681"/>
      <c r="L5" s="681"/>
      <c r="M5" s="71"/>
    </row>
    <row r="6" spans="2:19" s="6" customFormat="1" ht="69.75" customHeight="1" x14ac:dyDescent="0.25">
      <c r="B6" s="55">
        <v>1</v>
      </c>
      <c r="C6" s="56" t="s">
        <v>14</v>
      </c>
      <c r="D6" s="57" t="s">
        <v>13</v>
      </c>
      <c r="E6" s="58">
        <v>690</v>
      </c>
      <c r="F6" s="40">
        <v>245900</v>
      </c>
      <c r="G6" s="40">
        <v>290000</v>
      </c>
      <c r="H6" s="40">
        <v>287000</v>
      </c>
      <c r="I6" s="340">
        <f t="shared" ref="I6" si="0">AVERAGE(F6:H6)</f>
        <v>274300</v>
      </c>
      <c r="J6" s="72">
        <f>E6*I6</f>
        <v>189267000</v>
      </c>
      <c r="K6" s="329">
        <f>'A.P.U. Señal Vertical'!G48</f>
        <v>268941</v>
      </c>
      <c r="L6" s="40">
        <f>E6*K6</f>
        <v>185569290</v>
      </c>
      <c r="M6" s="417"/>
      <c r="Q6" s="10">
        <f>210000000/(K6*1.3)</f>
        <v>600.64646721199642</v>
      </c>
    </row>
    <row r="7" spans="2:19" ht="15.75" customHeight="1" x14ac:dyDescent="0.25">
      <c r="B7" s="678" t="s">
        <v>307</v>
      </c>
      <c r="C7" s="678"/>
      <c r="D7" s="678"/>
      <c r="E7" s="678"/>
      <c r="F7" s="678"/>
      <c r="G7" s="678"/>
      <c r="H7" s="678"/>
      <c r="I7" s="678"/>
      <c r="J7" s="59">
        <f>SUM(J6:J6)</f>
        <v>189267000</v>
      </c>
      <c r="K7" s="59" t="s">
        <v>302</v>
      </c>
      <c r="L7" s="59">
        <f>SUM(L6:L6)</f>
        <v>185569290</v>
      </c>
    </row>
    <row r="8" spans="2:19" ht="15" customHeight="1" x14ac:dyDescent="0.25">
      <c r="B8" s="678" t="s">
        <v>417</v>
      </c>
      <c r="C8" s="678"/>
      <c r="D8" s="678"/>
      <c r="E8" s="678"/>
      <c r="F8" s="678"/>
      <c r="G8" s="678"/>
      <c r="H8" s="678"/>
      <c r="I8" s="678"/>
      <c r="J8" s="59">
        <f>J7*35%</f>
        <v>66243449.999999993</v>
      </c>
      <c r="K8" s="59" t="s">
        <v>417</v>
      </c>
      <c r="L8" s="59">
        <f>L7*35%</f>
        <v>64949251.499999993</v>
      </c>
      <c r="S8" s="341">
        <f>(K6*1.3)*600</f>
        <v>209773980</v>
      </c>
    </row>
    <row r="9" spans="2:19" x14ac:dyDescent="0.25">
      <c r="B9" s="678" t="s">
        <v>35</v>
      </c>
      <c r="C9" s="678"/>
      <c r="D9" s="678"/>
      <c r="E9" s="678"/>
      <c r="F9" s="678"/>
      <c r="G9" s="678"/>
      <c r="H9" s="678"/>
      <c r="I9" s="678"/>
      <c r="J9" s="59">
        <f>SUM(J7:J8)</f>
        <v>255510450</v>
      </c>
      <c r="K9" s="59" t="s">
        <v>35</v>
      </c>
      <c r="L9" s="59">
        <f>SUM(L7:L8)</f>
        <v>250518541.5</v>
      </c>
    </row>
    <row r="10" spans="2:19" s="6" customFormat="1" ht="47.25" customHeight="1" x14ac:dyDescent="0.25">
      <c r="B10" s="55">
        <v>2</v>
      </c>
      <c r="C10" s="56" t="s">
        <v>425</v>
      </c>
      <c r="D10" s="57" t="s">
        <v>13</v>
      </c>
      <c r="E10" s="58">
        <v>300</v>
      </c>
      <c r="F10" s="40"/>
      <c r="G10" s="40"/>
      <c r="H10" s="40"/>
      <c r="I10" s="340"/>
      <c r="J10" s="72"/>
      <c r="K10" s="329">
        <f>'A.P.U. Mtto Señal Vert.'!H48</f>
        <v>125901</v>
      </c>
      <c r="L10" s="40">
        <f>E10*K10</f>
        <v>37770300</v>
      </c>
      <c r="M10" s="417"/>
      <c r="Q10" s="10"/>
    </row>
    <row r="11" spans="2:19" ht="15.75" customHeight="1" x14ac:dyDescent="0.25">
      <c r="B11" s="678"/>
      <c r="C11" s="678"/>
      <c r="D11" s="678"/>
      <c r="E11" s="678"/>
      <c r="F11" s="678"/>
      <c r="G11" s="678"/>
      <c r="H11" s="678"/>
      <c r="I11" s="678"/>
      <c r="J11" s="59"/>
      <c r="K11" s="59" t="s">
        <v>302</v>
      </c>
      <c r="L11" s="59">
        <f>SUM(L10)</f>
        <v>37770300</v>
      </c>
    </row>
    <row r="12" spans="2:19" ht="15" customHeight="1" x14ac:dyDescent="0.25">
      <c r="B12" s="678"/>
      <c r="C12" s="678"/>
      <c r="D12" s="678"/>
      <c r="E12" s="678"/>
      <c r="F12" s="678"/>
      <c r="G12" s="678"/>
      <c r="H12" s="678"/>
      <c r="I12" s="678"/>
      <c r="J12" s="59"/>
      <c r="K12" s="59" t="s">
        <v>417</v>
      </c>
      <c r="L12" s="59">
        <f>L11*35%</f>
        <v>13219605</v>
      </c>
      <c r="S12" s="341" t="e">
        <f>(K9*1.3)*600</f>
        <v>#VALUE!</v>
      </c>
    </row>
    <row r="13" spans="2:19" x14ac:dyDescent="0.25">
      <c r="B13" s="678"/>
      <c r="C13" s="678"/>
      <c r="D13" s="678"/>
      <c r="E13" s="678"/>
      <c r="F13" s="678"/>
      <c r="G13" s="678"/>
      <c r="H13" s="678"/>
      <c r="I13" s="678"/>
      <c r="J13" s="59"/>
      <c r="K13" s="59" t="s">
        <v>35</v>
      </c>
      <c r="L13" s="59">
        <f>SUM(L11:L12)</f>
        <v>50989905</v>
      </c>
    </row>
    <row r="15" spans="2:19" x14ac:dyDescent="0.25">
      <c r="C15" s="36"/>
      <c r="G15" s="74"/>
      <c r="I15" s="2"/>
      <c r="J15" s="3"/>
    </row>
    <row r="16" spans="2:19" ht="66.75" customHeight="1" x14ac:dyDescent="0.25">
      <c r="C16" s="344"/>
      <c r="D16" s="344"/>
      <c r="E16" s="345"/>
      <c r="F16" s="344"/>
      <c r="G16" s="320" t="s">
        <v>420</v>
      </c>
      <c r="H16" s="346"/>
      <c r="I16" s="332"/>
      <c r="J16" s="3"/>
    </row>
    <row r="17" spans="2:12" ht="15" x14ac:dyDescent="0.25">
      <c r="C17" s="344"/>
      <c r="D17" s="344"/>
      <c r="E17" s="345"/>
      <c r="F17" s="344"/>
      <c r="G17" s="319" t="s">
        <v>434</v>
      </c>
      <c r="H17" s="344"/>
      <c r="J17" s="128"/>
    </row>
    <row r="18" spans="2:12" x14ac:dyDescent="0.25">
      <c r="E18" s="326"/>
      <c r="J18" s="129"/>
      <c r="K18" s="3"/>
    </row>
    <row r="19" spans="2:12" x14ac:dyDescent="0.25">
      <c r="B19" s="342"/>
      <c r="D19" s="2"/>
      <c r="E19" s="3"/>
      <c r="F19" s="3"/>
      <c r="G19" s="3"/>
      <c r="J19" s="5"/>
    </row>
    <row r="20" spans="2:12" x14ac:dyDescent="0.25">
      <c r="B20" s="328"/>
      <c r="E20" s="3"/>
      <c r="F20" s="3"/>
      <c r="K20" s="328"/>
      <c r="L20" s="3"/>
    </row>
  </sheetData>
  <mergeCells count="14">
    <mergeCell ref="B11:I11"/>
    <mergeCell ref="B12:I12"/>
    <mergeCell ref="B13:I13"/>
    <mergeCell ref="B9:I9"/>
    <mergeCell ref="B1:L1"/>
    <mergeCell ref="B2:L2"/>
    <mergeCell ref="B3:L3"/>
    <mergeCell ref="B4:E4"/>
    <mergeCell ref="I4:I5"/>
    <mergeCell ref="J4:J5"/>
    <mergeCell ref="K4:K5"/>
    <mergeCell ref="L4:L5"/>
    <mergeCell ref="B7:I7"/>
    <mergeCell ref="B8:I8"/>
  </mergeCells>
  <printOptions horizontalCentered="1" verticalCentered="1"/>
  <pageMargins left="0.7" right="0.7" top="0.75" bottom="0.75" header="0.3" footer="0.3"/>
  <pageSetup paperSize="5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46"/>
  <sheetViews>
    <sheetView view="pageBreakPreview" topLeftCell="A22" zoomScale="55" zoomScaleNormal="55" zoomScaleSheetLayoutView="55" workbookViewId="0">
      <selection activeCell="C45" sqref="C45"/>
    </sheetView>
  </sheetViews>
  <sheetFormatPr baseColWidth="10" defaultColWidth="11.42578125" defaultRowHeight="14.25" x14ac:dyDescent="0.25"/>
  <cols>
    <col min="1" max="1" width="11.5703125" style="423" bestFit="1" customWidth="1"/>
    <col min="2" max="2" width="63" style="418" customWidth="1"/>
    <col min="3" max="3" width="16.28515625" style="422" customWidth="1"/>
    <col min="4" max="4" width="14.5703125" style="418" customWidth="1"/>
    <col min="5" max="5" width="12.5703125" style="418" customWidth="1"/>
    <col min="6" max="6" width="20" style="421" customWidth="1"/>
    <col min="7" max="7" width="18.5703125" style="419" customWidth="1"/>
    <col min="8" max="8" width="11.42578125" style="418"/>
    <col min="9" max="9" width="28.85546875" style="418" bestFit="1" customWidth="1"/>
    <col min="10" max="16384" width="11.42578125" style="418"/>
  </cols>
  <sheetData>
    <row r="1" spans="1:9" s="509" customFormat="1" ht="35.25" customHeight="1" x14ac:dyDescent="0.25">
      <c r="A1" s="684" t="s">
        <v>414</v>
      </c>
      <c r="B1" s="684"/>
      <c r="C1" s="684"/>
      <c r="D1" s="684"/>
      <c r="E1" s="684"/>
      <c r="F1" s="684"/>
      <c r="G1" s="684"/>
    </row>
    <row r="2" spans="1:9" ht="22.5" customHeight="1" x14ac:dyDescent="0.25">
      <c r="A2" s="691" t="s">
        <v>385</v>
      </c>
      <c r="B2" s="692"/>
      <c r="C2" s="692"/>
      <c r="D2" s="692"/>
      <c r="E2" s="692"/>
      <c r="F2" s="692"/>
      <c r="G2" s="693"/>
    </row>
    <row r="3" spans="1:9" s="503" customFormat="1" ht="30" x14ac:dyDescent="0.25">
      <c r="A3" s="553" t="s">
        <v>5</v>
      </c>
      <c r="B3" s="554" t="s">
        <v>8</v>
      </c>
      <c r="C3" s="554" t="s">
        <v>7</v>
      </c>
      <c r="D3" s="554" t="s">
        <v>388</v>
      </c>
      <c r="E3" s="554" t="s">
        <v>387</v>
      </c>
      <c r="F3" s="555" t="s">
        <v>368</v>
      </c>
      <c r="G3" s="556" t="s">
        <v>386</v>
      </c>
    </row>
    <row r="4" spans="1:9" ht="22.5" customHeight="1" x14ac:dyDescent="0.25">
      <c r="A4" s="461">
        <v>1</v>
      </c>
      <c r="B4" s="491" t="s">
        <v>384</v>
      </c>
      <c r="C4" s="490"/>
      <c r="D4" s="489"/>
      <c r="E4" s="489"/>
      <c r="F4" s="488"/>
      <c r="G4" s="487"/>
    </row>
    <row r="5" spans="1:9" ht="15" x14ac:dyDescent="0.25">
      <c r="A5" s="454">
        <v>1.1000000000000001</v>
      </c>
      <c r="B5" s="483" t="s">
        <v>383</v>
      </c>
      <c r="C5" s="500"/>
      <c r="D5" s="499"/>
      <c r="E5" s="498"/>
      <c r="F5" s="482"/>
      <c r="G5" s="429"/>
      <c r="I5" s="502"/>
    </row>
    <row r="6" spans="1:9" ht="15" x14ac:dyDescent="0.25">
      <c r="A6" s="454">
        <v>1.2000000000000002</v>
      </c>
      <c r="B6" s="483" t="s">
        <v>389</v>
      </c>
      <c r="C6" s="500"/>
      <c r="D6" s="499"/>
      <c r="E6" s="498"/>
      <c r="F6" s="482"/>
      <c r="G6" s="429"/>
    </row>
    <row r="7" spans="1:9" ht="15" x14ac:dyDescent="0.25">
      <c r="A7" s="454">
        <v>1.3000000000000003</v>
      </c>
      <c r="B7" s="483" t="s">
        <v>382</v>
      </c>
      <c r="C7" s="500"/>
      <c r="D7" s="499"/>
      <c r="E7" s="498"/>
      <c r="F7" s="482"/>
      <c r="G7" s="429"/>
    </row>
    <row r="8" spans="1:9" ht="15" x14ac:dyDescent="0.25">
      <c r="A8" s="454">
        <v>1.4</v>
      </c>
      <c r="B8" s="483" t="s">
        <v>381</v>
      </c>
      <c r="C8" s="500"/>
      <c r="D8" s="499"/>
      <c r="E8" s="498"/>
      <c r="F8" s="482"/>
      <c r="G8" s="429"/>
    </row>
    <row r="9" spans="1:9" ht="15" x14ac:dyDescent="0.25">
      <c r="A9" s="454">
        <v>1.5</v>
      </c>
      <c r="B9" s="501" t="s">
        <v>124</v>
      </c>
      <c r="C9" s="500"/>
      <c r="D9" s="499"/>
      <c r="E9" s="498"/>
      <c r="F9" s="482"/>
      <c r="G9" s="429"/>
    </row>
    <row r="10" spans="1:9" ht="20.25" x14ac:dyDescent="0.25">
      <c r="A10" s="685" t="s">
        <v>92</v>
      </c>
      <c r="B10" s="686"/>
      <c r="C10" s="686"/>
      <c r="D10" s="686"/>
      <c r="E10" s="686"/>
      <c r="F10" s="687"/>
      <c r="G10" s="557"/>
    </row>
    <row r="11" spans="1:9" x14ac:dyDescent="0.25">
      <c r="A11" s="497" t="s">
        <v>380</v>
      </c>
      <c r="B11" s="435"/>
      <c r="C11" s="436"/>
      <c r="D11" s="435"/>
      <c r="E11" s="435"/>
      <c r="F11" s="434"/>
      <c r="G11" s="429"/>
    </row>
    <row r="12" spans="1:9" x14ac:dyDescent="0.25">
      <c r="A12" s="437"/>
      <c r="B12" s="435"/>
      <c r="C12" s="436"/>
      <c r="D12" s="435"/>
      <c r="E12" s="435"/>
      <c r="F12" s="434"/>
      <c r="G12" s="429"/>
    </row>
    <row r="13" spans="1:9" s="447" customFormat="1" ht="30" x14ac:dyDescent="0.25">
      <c r="A13" s="543" t="s">
        <v>5</v>
      </c>
      <c r="B13" s="544" t="s">
        <v>8</v>
      </c>
      <c r="C13" s="545" t="s">
        <v>7</v>
      </c>
      <c r="D13" s="545" t="s">
        <v>0</v>
      </c>
      <c r="E13" s="544"/>
      <c r="F13" s="546" t="s">
        <v>368</v>
      </c>
      <c r="G13" s="552"/>
    </row>
    <row r="14" spans="1:9" ht="15" x14ac:dyDescent="0.25">
      <c r="A14" s="461">
        <v>2</v>
      </c>
      <c r="B14" s="491" t="s">
        <v>379</v>
      </c>
      <c r="C14" s="490"/>
      <c r="D14" s="489"/>
      <c r="E14" s="489"/>
      <c r="F14" s="488"/>
      <c r="G14" s="487"/>
    </row>
    <row r="15" spans="1:9" ht="42.75" x14ac:dyDescent="0.25">
      <c r="A15" s="446" t="s">
        <v>332</v>
      </c>
      <c r="B15" s="486" t="s">
        <v>378</v>
      </c>
      <c r="C15" s="485"/>
      <c r="D15" s="484"/>
      <c r="E15" s="483"/>
      <c r="F15" s="482"/>
      <c r="G15" s="429"/>
    </row>
    <row r="16" spans="1:9" ht="15" x14ac:dyDescent="0.25">
      <c r="A16" s="446" t="s">
        <v>333</v>
      </c>
      <c r="B16" s="483" t="s">
        <v>377</v>
      </c>
      <c r="C16" s="485"/>
      <c r="D16" s="484"/>
      <c r="E16" s="483"/>
      <c r="F16" s="482"/>
      <c r="G16" s="429"/>
    </row>
    <row r="17" spans="1:9" ht="15" x14ac:dyDescent="0.25">
      <c r="A17" s="446" t="s">
        <v>334</v>
      </c>
      <c r="B17" s="483" t="s">
        <v>375</v>
      </c>
      <c r="C17" s="485"/>
      <c r="D17" s="484"/>
      <c r="E17" s="483"/>
      <c r="F17" s="482"/>
      <c r="G17" s="429"/>
    </row>
    <row r="18" spans="1:9" ht="21" thickBot="1" x14ac:dyDescent="0.3">
      <c r="A18" s="685" t="s">
        <v>92</v>
      </c>
      <c r="B18" s="686"/>
      <c r="C18" s="686"/>
      <c r="D18" s="686"/>
      <c r="E18" s="686"/>
      <c r="F18" s="687"/>
      <c r="G18" s="438">
        <v>0.114</v>
      </c>
    </row>
    <row r="19" spans="1:9" ht="15.75" thickTop="1" thickBot="1" x14ac:dyDescent="0.3">
      <c r="A19" s="437"/>
      <c r="B19" s="435"/>
      <c r="C19" s="436"/>
      <c r="D19" s="435"/>
      <c r="E19" s="435"/>
      <c r="F19" s="434"/>
      <c r="G19" s="429"/>
    </row>
    <row r="20" spans="1:9" s="447" customFormat="1" ht="30.75" thickTop="1" x14ac:dyDescent="0.25">
      <c r="A20" s="547">
        <v>3</v>
      </c>
      <c r="B20" s="548" t="s">
        <v>373</v>
      </c>
      <c r="C20" s="549"/>
      <c r="D20" s="550"/>
      <c r="E20" s="550"/>
      <c r="F20" s="551"/>
      <c r="G20" s="542" t="s">
        <v>386</v>
      </c>
      <c r="H20" s="473"/>
    </row>
    <row r="21" spans="1:9" s="449" customFormat="1" ht="15.75" x14ac:dyDescent="0.25">
      <c r="A21" s="470">
        <v>3</v>
      </c>
      <c r="B21" s="472" t="s">
        <v>372</v>
      </c>
      <c r="C21" s="468"/>
      <c r="D21" s="468"/>
      <c r="E21" s="468"/>
      <c r="F21" s="466"/>
      <c r="G21" s="464"/>
    </row>
    <row r="22" spans="1:9" s="449" customFormat="1" ht="15" x14ac:dyDescent="0.25">
      <c r="A22" s="470">
        <v>3.1</v>
      </c>
      <c r="B22" s="469" t="s">
        <v>211</v>
      </c>
      <c r="C22" s="468"/>
      <c r="D22" s="468"/>
      <c r="E22" s="467"/>
      <c r="F22" s="466"/>
      <c r="G22" s="464"/>
    </row>
    <row r="23" spans="1:9" s="449" customFormat="1" ht="15" x14ac:dyDescent="0.25">
      <c r="A23" s="470">
        <v>3.2</v>
      </c>
      <c r="B23" s="469" t="s">
        <v>212</v>
      </c>
      <c r="C23" s="468"/>
      <c r="D23" s="468"/>
      <c r="E23" s="467"/>
      <c r="F23" s="466"/>
      <c r="G23" s="464"/>
    </row>
    <row r="24" spans="1:9" s="449" customFormat="1" ht="15" x14ac:dyDescent="0.25">
      <c r="A24" s="470">
        <v>3.3</v>
      </c>
      <c r="B24" s="469" t="s">
        <v>213</v>
      </c>
      <c r="C24" s="468"/>
      <c r="D24" s="468"/>
      <c r="E24" s="467"/>
      <c r="F24" s="466"/>
      <c r="G24" s="464"/>
    </row>
    <row r="25" spans="1:9" s="449" customFormat="1" ht="15" x14ac:dyDescent="0.25">
      <c r="A25" s="470">
        <v>3.4</v>
      </c>
      <c r="B25" s="469" t="s">
        <v>214</v>
      </c>
      <c r="C25" s="468"/>
      <c r="D25" s="468"/>
      <c r="E25" s="467"/>
      <c r="F25" s="466"/>
      <c r="G25" s="464"/>
    </row>
    <row r="26" spans="1:9" s="449" customFormat="1" ht="15" x14ac:dyDescent="0.25">
      <c r="A26" s="470">
        <v>3.5</v>
      </c>
      <c r="B26" s="469" t="s">
        <v>215</v>
      </c>
      <c r="C26" s="468"/>
      <c r="D26" s="468"/>
      <c r="E26" s="467"/>
      <c r="F26" s="466"/>
      <c r="G26" s="464"/>
    </row>
    <row r="27" spans="1:9" s="449" customFormat="1" ht="15" x14ac:dyDescent="0.25">
      <c r="A27" s="470">
        <v>3.6</v>
      </c>
      <c r="B27" s="469" t="s">
        <v>216</v>
      </c>
      <c r="C27" s="468"/>
      <c r="D27" s="468"/>
      <c r="E27" s="467"/>
      <c r="F27" s="466"/>
      <c r="G27" s="464"/>
    </row>
    <row r="28" spans="1:9" s="449" customFormat="1" ht="15" x14ac:dyDescent="0.25">
      <c r="A28" s="470">
        <v>3.7</v>
      </c>
      <c r="B28" s="469" t="s">
        <v>217</v>
      </c>
      <c r="C28" s="468"/>
      <c r="D28" s="468"/>
      <c r="E28" s="467"/>
      <c r="F28" s="466"/>
      <c r="G28" s="464"/>
    </row>
    <row r="29" spans="1:9" s="449" customFormat="1" ht="15" x14ac:dyDescent="0.25">
      <c r="A29" s="470">
        <v>3.8</v>
      </c>
      <c r="B29" s="469" t="s">
        <v>218</v>
      </c>
      <c r="C29" s="468"/>
      <c r="D29" s="468"/>
      <c r="E29" s="467"/>
      <c r="F29" s="466"/>
      <c r="G29" s="464"/>
    </row>
    <row r="30" spans="1:9" ht="21" thickBot="1" x14ac:dyDescent="0.3">
      <c r="A30" s="688" t="s">
        <v>371</v>
      </c>
      <c r="B30" s="689"/>
      <c r="C30" s="689"/>
      <c r="D30" s="689"/>
      <c r="E30" s="689"/>
      <c r="F30" s="690"/>
      <c r="G30" s="463">
        <v>0.156</v>
      </c>
      <c r="I30" s="462"/>
    </row>
    <row r="31" spans="1:9" ht="15" customHeight="1" thickTop="1" thickBot="1" x14ac:dyDescent="0.3">
      <c r="A31" s="437"/>
      <c r="B31" s="435"/>
      <c r="C31" s="436"/>
      <c r="D31" s="435"/>
      <c r="E31" s="435"/>
      <c r="F31" s="434"/>
      <c r="G31" s="432"/>
    </row>
    <row r="32" spans="1:9" s="447" customFormat="1" ht="21" thickTop="1" x14ac:dyDescent="0.25">
      <c r="A32" s="694" t="s">
        <v>370</v>
      </c>
      <c r="B32" s="695"/>
      <c r="C32" s="695"/>
      <c r="D32" s="695"/>
      <c r="E32" s="695"/>
      <c r="F32" s="695"/>
      <c r="G32" s="696"/>
      <c r="I32" s="418"/>
    </row>
    <row r="33" spans="1:9" ht="20.25" x14ac:dyDescent="0.25">
      <c r="A33" s="461">
        <v>1</v>
      </c>
      <c r="B33" s="460" t="s">
        <v>369</v>
      </c>
      <c r="C33" s="459"/>
      <c r="D33" s="458"/>
      <c r="E33" s="458"/>
      <c r="F33" s="457" t="s">
        <v>368</v>
      </c>
      <c r="G33" s="455"/>
    </row>
    <row r="34" spans="1:9" s="449" customFormat="1" ht="20.25" x14ac:dyDescent="0.25">
      <c r="A34" s="454">
        <v>1.1000000000000001</v>
      </c>
      <c r="B34" s="445" t="s">
        <v>366</v>
      </c>
      <c r="C34" s="453"/>
      <c r="D34" s="452"/>
      <c r="E34" s="451"/>
      <c r="F34" s="450"/>
      <c r="G34" s="432"/>
      <c r="I34" s="418"/>
    </row>
    <row r="35" spans="1:9" ht="21" thickBot="1" x14ac:dyDescent="0.3">
      <c r="A35" s="700" t="s">
        <v>365</v>
      </c>
      <c r="B35" s="701"/>
      <c r="C35" s="701"/>
      <c r="D35" s="701"/>
      <c r="E35" s="701"/>
      <c r="F35" s="701"/>
      <c r="G35" s="438">
        <v>0.02</v>
      </c>
    </row>
    <row r="36" spans="1:9" ht="15" customHeight="1" thickTop="1" x14ac:dyDescent="0.25">
      <c r="A36" s="437"/>
      <c r="B36" s="435"/>
      <c r="C36" s="436"/>
      <c r="D36" s="435"/>
      <c r="E36" s="435"/>
      <c r="F36" s="434"/>
      <c r="G36" s="432"/>
    </row>
    <row r="37" spans="1:9" s="447" customFormat="1" ht="20.25" x14ac:dyDescent="0.25">
      <c r="A37" s="697" t="s">
        <v>364</v>
      </c>
      <c r="B37" s="698"/>
      <c r="C37" s="698"/>
      <c r="D37" s="698"/>
      <c r="E37" s="698"/>
      <c r="F37" s="698"/>
      <c r="G37" s="699"/>
      <c r="I37" s="418"/>
    </row>
    <row r="38" spans="1:9" ht="20.25" x14ac:dyDescent="0.25">
      <c r="A38" s="558">
        <v>1</v>
      </c>
      <c r="B38" s="559" t="s">
        <v>363</v>
      </c>
      <c r="C38" s="560"/>
      <c r="D38" s="561"/>
      <c r="E38" s="562"/>
      <c r="F38" s="563"/>
      <c r="G38" s="432"/>
    </row>
    <row r="39" spans="1:9" ht="21" thickBot="1" x14ac:dyDescent="0.3">
      <c r="A39" s="700" t="s">
        <v>362</v>
      </c>
      <c r="B39" s="701"/>
      <c r="C39" s="701"/>
      <c r="D39" s="701"/>
      <c r="E39" s="701"/>
      <c r="F39" s="701"/>
      <c r="G39" s="438">
        <v>0.06</v>
      </c>
    </row>
    <row r="40" spans="1:9" ht="21" thickTop="1" x14ac:dyDescent="0.25">
      <c r="A40" s="437"/>
      <c r="B40" s="435"/>
      <c r="C40" s="436"/>
      <c r="D40" s="435"/>
      <c r="E40" s="435"/>
      <c r="F40" s="434"/>
      <c r="G40" s="432"/>
    </row>
    <row r="41" spans="1:9" ht="20.25" x14ac:dyDescent="0.25">
      <c r="A41" s="682" t="s">
        <v>361</v>
      </c>
      <c r="B41" s="683"/>
      <c r="C41" s="683"/>
      <c r="D41" s="683"/>
      <c r="E41" s="683"/>
      <c r="F41" s="683"/>
      <c r="G41" s="430">
        <f>SUM(G3:G40)</f>
        <v>0.35000000000000003</v>
      </c>
    </row>
    <row r="43" spans="1:9" ht="59.25" customHeight="1" x14ac:dyDescent="0.25">
      <c r="C43" s="418"/>
      <c r="F43" s="426"/>
      <c r="G43" s="424"/>
    </row>
    <row r="44" spans="1:9" ht="18" customHeight="1" x14ac:dyDescent="0.25">
      <c r="B44" s="578" t="s">
        <v>422</v>
      </c>
      <c r="D44" s="578"/>
      <c r="E44" s="578"/>
      <c r="F44" s="426"/>
      <c r="G44" s="511" t="s">
        <v>302</v>
      </c>
    </row>
    <row r="45" spans="1:9" ht="16.5" customHeight="1" x14ac:dyDescent="0.25">
      <c r="B45" s="579" t="s">
        <v>421</v>
      </c>
      <c r="D45" s="579"/>
      <c r="E45" s="579"/>
      <c r="F45" s="426"/>
      <c r="G45" s="511" t="s">
        <v>359</v>
      </c>
    </row>
    <row r="46" spans="1:9" ht="18" customHeight="1" x14ac:dyDescent="0.25">
      <c r="F46" s="426"/>
      <c r="G46" s="511" t="s">
        <v>35</v>
      </c>
    </row>
  </sheetData>
  <mergeCells count="10">
    <mergeCell ref="A41:F41"/>
    <mergeCell ref="A1:G1"/>
    <mergeCell ref="A10:F10"/>
    <mergeCell ref="A18:F18"/>
    <mergeCell ref="A30:F30"/>
    <mergeCell ref="A2:G2"/>
    <mergeCell ref="A32:G32"/>
    <mergeCell ref="A37:G37"/>
    <mergeCell ref="A35:F35"/>
    <mergeCell ref="A39:F3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48"/>
  <sheetViews>
    <sheetView view="pageBreakPreview" topLeftCell="A31" zoomScale="70" zoomScaleNormal="55" zoomScaleSheetLayoutView="70" workbookViewId="0">
      <selection activeCell="J16" sqref="J16"/>
    </sheetView>
  </sheetViews>
  <sheetFormatPr baseColWidth="10" defaultColWidth="11.42578125" defaultRowHeight="14.25" x14ac:dyDescent="0.25"/>
  <cols>
    <col min="1" max="1" width="11.5703125" style="423" bestFit="1" customWidth="1"/>
    <col min="2" max="2" width="63" style="418" customWidth="1"/>
    <col min="3" max="3" width="16.28515625" style="422" customWidth="1"/>
    <col min="4" max="4" width="14.5703125" style="418" customWidth="1"/>
    <col min="5" max="5" width="12.5703125" style="418" customWidth="1"/>
    <col min="6" max="6" width="20" style="421" customWidth="1"/>
    <col min="7" max="7" width="27.28515625" style="420" customWidth="1"/>
    <col min="8" max="8" width="18.5703125" style="419" customWidth="1"/>
    <col min="9" max="9" width="11.42578125" style="418"/>
    <col min="10" max="10" width="28.85546875" style="418" bestFit="1" customWidth="1"/>
    <col min="11" max="16384" width="11.42578125" style="418"/>
  </cols>
  <sheetData>
    <row r="1" spans="1:10" s="509" customFormat="1" ht="35.25" customHeight="1" thickBot="1" x14ac:dyDescent="0.3">
      <c r="A1" s="684" t="s">
        <v>423</v>
      </c>
      <c r="B1" s="684"/>
      <c r="C1" s="684"/>
      <c r="D1" s="684"/>
      <c r="E1" s="684"/>
      <c r="F1" s="684"/>
      <c r="G1" s="684"/>
      <c r="H1" s="684"/>
    </row>
    <row r="2" spans="1:10" s="503" customFormat="1" ht="30.75" thickTop="1" x14ac:dyDescent="0.25">
      <c r="A2" s="508" t="s">
        <v>5</v>
      </c>
      <c r="B2" s="507" t="s">
        <v>8</v>
      </c>
      <c r="C2" s="507" t="s">
        <v>7</v>
      </c>
      <c r="D2" s="507" t="s">
        <v>388</v>
      </c>
      <c r="E2" s="507" t="s">
        <v>387</v>
      </c>
      <c r="F2" s="506" t="s">
        <v>368</v>
      </c>
      <c r="G2" s="505" t="s">
        <v>367</v>
      </c>
      <c r="H2" s="504" t="s">
        <v>386</v>
      </c>
    </row>
    <row r="3" spans="1:10" ht="22.5" customHeight="1" x14ac:dyDescent="0.25">
      <c r="A3" s="704" t="s">
        <v>385</v>
      </c>
      <c r="B3" s="705"/>
      <c r="C3" s="705"/>
      <c r="D3" s="705"/>
      <c r="E3" s="705"/>
      <c r="F3" s="705"/>
      <c r="G3" s="706"/>
      <c r="H3" s="487"/>
    </row>
    <row r="4" spans="1:10" ht="22.5" customHeight="1" x14ac:dyDescent="0.25">
      <c r="A4" s="461">
        <v>1</v>
      </c>
      <c r="B4" s="491" t="s">
        <v>384</v>
      </c>
      <c r="C4" s="490"/>
      <c r="D4" s="489"/>
      <c r="E4" s="489"/>
      <c r="F4" s="488"/>
      <c r="G4" s="456"/>
      <c r="H4" s="487"/>
    </row>
    <row r="5" spans="1:10" ht="15" x14ac:dyDescent="0.25">
      <c r="A5" s="454">
        <v>1.1000000000000001</v>
      </c>
      <c r="B5" s="483" t="s">
        <v>419</v>
      </c>
      <c r="C5" s="500" t="s">
        <v>376</v>
      </c>
      <c r="D5" s="499">
        <v>2</v>
      </c>
      <c r="E5" s="498">
        <v>0.5</v>
      </c>
      <c r="F5" s="482">
        <v>4500000</v>
      </c>
      <c r="G5" s="450">
        <f>+D5*E5*F5</f>
        <v>4500000</v>
      </c>
      <c r="H5" s="429"/>
      <c r="J5" s="502"/>
    </row>
    <row r="6" spans="1:10" ht="15" x14ac:dyDescent="0.25">
      <c r="A6" s="454">
        <v>1.2000000000000002</v>
      </c>
      <c r="B6" s="483" t="s">
        <v>418</v>
      </c>
      <c r="C6" s="500" t="s">
        <v>376</v>
      </c>
      <c r="D6" s="499">
        <v>2</v>
      </c>
      <c r="E6" s="498">
        <v>0.7</v>
      </c>
      <c r="F6" s="482">
        <v>4000000</v>
      </c>
      <c r="G6" s="450">
        <f>+D6*E6*F6</f>
        <v>5600000</v>
      </c>
      <c r="H6" s="429"/>
    </row>
    <row r="7" spans="1:10" ht="15" x14ac:dyDescent="0.25">
      <c r="A7" s="454">
        <v>1.3000000000000003</v>
      </c>
      <c r="B7" s="483" t="s">
        <v>382</v>
      </c>
      <c r="C7" s="500" t="s">
        <v>376</v>
      </c>
      <c r="D7" s="499">
        <v>2</v>
      </c>
      <c r="E7" s="498">
        <v>0.8</v>
      </c>
      <c r="F7" s="482">
        <v>3000000</v>
      </c>
      <c r="G7" s="450">
        <f>+D7*E7*F7</f>
        <v>4800000</v>
      </c>
      <c r="H7" s="429"/>
    </row>
    <row r="8" spans="1:10" ht="15" x14ac:dyDescent="0.25">
      <c r="A8" s="454">
        <v>1.4</v>
      </c>
      <c r="B8" s="483" t="s">
        <v>381</v>
      </c>
      <c r="C8" s="500" t="s">
        <v>376</v>
      </c>
      <c r="D8" s="499">
        <v>2</v>
      </c>
      <c r="E8" s="498">
        <v>0.8</v>
      </c>
      <c r="F8" s="482">
        <v>2600000</v>
      </c>
      <c r="G8" s="450">
        <f>+D8*E8*F8</f>
        <v>4160000</v>
      </c>
      <c r="H8" s="429"/>
    </row>
    <row r="9" spans="1:10" ht="15" x14ac:dyDescent="0.25">
      <c r="A9" s="454">
        <v>1.5</v>
      </c>
      <c r="B9" s="501" t="s">
        <v>124</v>
      </c>
      <c r="C9" s="500" t="s">
        <v>376</v>
      </c>
      <c r="D9" s="499">
        <v>2</v>
      </c>
      <c r="E9" s="498">
        <v>0.5</v>
      </c>
      <c r="F9" s="482">
        <v>1500000</v>
      </c>
      <c r="G9" s="450">
        <f>+D9*E9*F9</f>
        <v>1500000</v>
      </c>
      <c r="H9" s="429"/>
    </row>
    <row r="10" spans="1:10" ht="15.75" x14ac:dyDescent="0.25">
      <c r="A10" s="685" t="s">
        <v>92</v>
      </c>
      <c r="B10" s="686"/>
      <c r="C10" s="686"/>
      <c r="D10" s="686"/>
      <c r="E10" s="686"/>
      <c r="F10" s="687"/>
      <c r="G10" s="481">
        <f>SUM(G5:G9)</f>
        <v>20560000</v>
      </c>
      <c r="H10" s="429"/>
    </row>
    <row r="11" spans="1:10" x14ac:dyDescent="0.25">
      <c r="A11" s="497" t="s">
        <v>380</v>
      </c>
      <c r="B11" s="435"/>
      <c r="C11" s="436"/>
      <c r="D11" s="435"/>
      <c r="E11" s="435"/>
      <c r="F11" s="434"/>
      <c r="G11" s="433"/>
      <c r="H11" s="429"/>
    </row>
    <row r="12" spans="1:10" x14ac:dyDescent="0.25">
      <c r="A12" s="437"/>
      <c r="B12" s="435"/>
      <c r="C12" s="436"/>
      <c r="D12" s="435"/>
      <c r="E12" s="435"/>
      <c r="F12" s="434"/>
      <c r="G12" s="433"/>
      <c r="H12" s="429"/>
    </row>
    <row r="13" spans="1:10" s="447" customFormat="1" ht="30" x14ac:dyDescent="0.25">
      <c r="A13" s="496" t="s">
        <v>5</v>
      </c>
      <c r="B13" s="494" t="s">
        <v>8</v>
      </c>
      <c r="C13" s="495" t="s">
        <v>7</v>
      </c>
      <c r="D13" s="495" t="s">
        <v>0</v>
      </c>
      <c r="E13" s="494"/>
      <c r="F13" s="493" t="s">
        <v>368</v>
      </c>
      <c r="G13" s="492" t="s">
        <v>367</v>
      </c>
      <c r="H13" s="474"/>
    </row>
    <row r="14" spans="1:10" ht="15" x14ac:dyDescent="0.25">
      <c r="A14" s="461">
        <v>2</v>
      </c>
      <c r="B14" s="491" t="s">
        <v>379</v>
      </c>
      <c r="C14" s="490"/>
      <c r="D14" s="489"/>
      <c r="E14" s="489"/>
      <c r="F14" s="488"/>
      <c r="G14" s="456"/>
      <c r="H14" s="487"/>
    </row>
    <row r="15" spans="1:10" ht="42.75" x14ac:dyDescent="0.25">
      <c r="A15" s="446" t="s">
        <v>332</v>
      </c>
      <c r="B15" s="486" t="s">
        <v>378</v>
      </c>
      <c r="C15" s="485" t="s">
        <v>374</v>
      </c>
      <c r="D15" s="484">
        <v>1</v>
      </c>
      <c r="E15" s="483"/>
      <c r="F15" s="482">
        <v>294899.06</v>
      </c>
      <c r="G15" s="450">
        <f>F15</f>
        <v>294899.06</v>
      </c>
      <c r="H15" s="429"/>
    </row>
    <row r="16" spans="1:10" ht="15" x14ac:dyDescent="0.25">
      <c r="A16" s="446" t="s">
        <v>333</v>
      </c>
      <c r="B16" s="483" t="s">
        <v>377</v>
      </c>
      <c r="C16" s="485" t="s">
        <v>376</v>
      </c>
      <c r="D16" s="484">
        <v>2</v>
      </c>
      <c r="E16" s="483"/>
      <c r="F16" s="482">
        <v>100000</v>
      </c>
      <c r="G16" s="450">
        <f>+D16*F16</f>
        <v>200000</v>
      </c>
      <c r="H16" s="429"/>
    </row>
    <row r="17" spans="1:10" ht="15" x14ac:dyDescent="0.25">
      <c r="A17" s="446" t="s">
        <v>334</v>
      </c>
      <c r="B17" s="483" t="s">
        <v>375</v>
      </c>
      <c r="C17" s="485" t="s">
        <v>374</v>
      </c>
      <c r="D17" s="484">
        <v>1</v>
      </c>
      <c r="E17" s="483"/>
      <c r="F17" s="482">
        <v>100000</v>
      </c>
      <c r="G17" s="450">
        <f>+D17*F17</f>
        <v>100000</v>
      </c>
      <c r="H17" s="429"/>
    </row>
    <row r="18" spans="1:10" ht="15.75" x14ac:dyDescent="0.25">
      <c r="A18" s="685" t="s">
        <v>92</v>
      </c>
      <c r="B18" s="686"/>
      <c r="C18" s="686"/>
      <c r="D18" s="686"/>
      <c r="E18" s="686"/>
      <c r="F18" s="687"/>
      <c r="G18" s="481">
        <f>SUM(G15:G17)</f>
        <v>594899.06000000006</v>
      </c>
      <c r="H18" s="429"/>
    </row>
    <row r="19" spans="1:10" x14ac:dyDescent="0.25">
      <c r="A19" s="437"/>
      <c r="B19" s="435"/>
      <c r="C19" s="436"/>
      <c r="D19" s="435"/>
      <c r="E19" s="435"/>
      <c r="F19" s="434"/>
      <c r="G19" s="433"/>
      <c r="H19" s="429"/>
    </row>
    <row r="20" spans="1:10" s="447" customFormat="1" ht="15" x14ac:dyDescent="0.25">
      <c r="A20" s="480">
        <v>3</v>
      </c>
      <c r="B20" s="479" t="s">
        <v>373</v>
      </c>
      <c r="C20" s="478"/>
      <c r="D20" s="477"/>
      <c r="E20" s="477"/>
      <c r="F20" s="476"/>
      <c r="G20" s="475" t="s">
        <v>367</v>
      </c>
      <c r="H20" s="474"/>
      <c r="I20" s="473"/>
    </row>
    <row r="21" spans="1:10" s="449" customFormat="1" ht="15.75" x14ac:dyDescent="0.25">
      <c r="A21" s="470">
        <v>3</v>
      </c>
      <c r="B21" s="472" t="s">
        <v>372</v>
      </c>
      <c r="C21" s="468"/>
      <c r="D21" s="468"/>
      <c r="E21" s="468"/>
      <c r="F21" s="466"/>
      <c r="G21" s="471">
        <f>G46*15.6%</f>
        <v>28948809.239999998</v>
      </c>
      <c r="H21" s="464"/>
    </row>
    <row r="22" spans="1:10" s="449" customFormat="1" ht="15" x14ac:dyDescent="0.25">
      <c r="A22" s="470">
        <v>3.1</v>
      </c>
      <c r="B22" s="469" t="s">
        <v>211</v>
      </c>
      <c r="C22" s="468"/>
      <c r="D22" s="468"/>
      <c r="E22" s="467">
        <v>0.02</v>
      </c>
      <c r="F22" s="466"/>
      <c r="G22" s="465">
        <f t="shared" ref="G22:G29" si="0">E22*$G$46</f>
        <v>3711385.8000000003</v>
      </c>
      <c r="H22" s="464"/>
    </row>
    <row r="23" spans="1:10" s="449" customFormat="1" ht="15" x14ac:dyDescent="0.25">
      <c r="A23" s="470">
        <v>3.2</v>
      </c>
      <c r="B23" s="469" t="s">
        <v>212</v>
      </c>
      <c r="C23" s="468"/>
      <c r="D23" s="468"/>
      <c r="E23" s="467">
        <v>0.02</v>
      </c>
      <c r="F23" s="466"/>
      <c r="G23" s="465">
        <f t="shared" si="0"/>
        <v>3711385.8000000003</v>
      </c>
      <c r="H23" s="464"/>
    </row>
    <row r="24" spans="1:10" s="449" customFormat="1" ht="15" x14ac:dyDescent="0.25">
      <c r="A24" s="470">
        <v>3.3</v>
      </c>
      <c r="B24" s="469" t="s">
        <v>213</v>
      </c>
      <c r="C24" s="468"/>
      <c r="D24" s="468"/>
      <c r="E24" s="467">
        <v>1.4999999999999999E-2</v>
      </c>
      <c r="F24" s="466"/>
      <c r="G24" s="465">
        <f t="shared" si="0"/>
        <v>2783539.35</v>
      </c>
      <c r="H24" s="464"/>
    </row>
    <row r="25" spans="1:10" s="449" customFormat="1" ht="15" x14ac:dyDescent="0.25">
      <c r="A25" s="470">
        <v>3.4</v>
      </c>
      <c r="B25" s="469" t="s">
        <v>214</v>
      </c>
      <c r="C25" s="468"/>
      <c r="D25" s="468"/>
      <c r="E25" s="467">
        <v>5.0000000000000001E-3</v>
      </c>
      <c r="F25" s="466"/>
      <c r="G25" s="465">
        <f t="shared" si="0"/>
        <v>927846.45000000007</v>
      </c>
      <c r="H25" s="464"/>
    </row>
    <row r="26" spans="1:10" s="449" customFormat="1" ht="15" x14ac:dyDescent="0.25">
      <c r="A26" s="470">
        <v>3.5</v>
      </c>
      <c r="B26" s="469" t="s">
        <v>215</v>
      </c>
      <c r="C26" s="468"/>
      <c r="D26" s="468"/>
      <c r="E26" s="467">
        <v>0.02</v>
      </c>
      <c r="F26" s="466"/>
      <c r="G26" s="465">
        <f t="shared" si="0"/>
        <v>3711385.8000000003</v>
      </c>
      <c r="H26" s="464"/>
    </row>
    <row r="27" spans="1:10" s="449" customFormat="1" ht="15" x14ac:dyDescent="0.25">
      <c r="A27" s="470">
        <v>3.6</v>
      </c>
      <c r="B27" s="469" t="s">
        <v>216</v>
      </c>
      <c r="C27" s="468"/>
      <c r="D27" s="468"/>
      <c r="E27" s="467">
        <v>0.02</v>
      </c>
      <c r="F27" s="466"/>
      <c r="G27" s="465">
        <f t="shared" si="0"/>
        <v>3711385.8000000003</v>
      </c>
      <c r="H27" s="464"/>
    </row>
    <row r="28" spans="1:10" s="449" customFormat="1" ht="15" x14ac:dyDescent="0.25">
      <c r="A28" s="470">
        <v>3.7</v>
      </c>
      <c r="B28" s="469" t="s">
        <v>217</v>
      </c>
      <c r="C28" s="468"/>
      <c r="D28" s="468"/>
      <c r="E28" s="467">
        <v>6.0000000000000001E-3</v>
      </c>
      <c r="F28" s="466"/>
      <c r="G28" s="465">
        <f t="shared" si="0"/>
        <v>1113415.74</v>
      </c>
      <c r="H28" s="464"/>
    </row>
    <row r="29" spans="1:10" s="449" customFormat="1" ht="15" x14ac:dyDescent="0.25">
      <c r="A29" s="470">
        <v>3.8</v>
      </c>
      <c r="B29" s="469" t="s">
        <v>218</v>
      </c>
      <c r="C29" s="468"/>
      <c r="D29" s="468"/>
      <c r="E29" s="467">
        <v>0.05</v>
      </c>
      <c r="F29" s="466"/>
      <c r="G29" s="465">
        <f t="shared" si="0"/>
        <v>9278464.5</v>
      </c>
      <c r="H29" s="464"/>
    </row>
    <row r="30" spans="1:10" ht="21" thickBot="1" x14ac:dyDescent="0.3">
      <c r="A30" s="688" t="s">
        <v>371</v>
      </c>
      <c r="B30" s="689"/>
      <c r="C30" s="689"/>
      <c r="D30" s="689"/>
      <c r="E30" s="689"/>
      <c r="F30" s="690"/>
      <c r="G30" s="439">
        <f>+G21+G18+G10</f>
        <v>50103708.299999997</v>
      </c>
      <c r="H30" s="463">
        <f>+G30/G46</f>
        <v>0.26999999999999996</v>
      </c>
      <c r="J30" s="462"/>
    </row>
    <row r="31" spans="1:10" ht="15" customHeight="1" thickTop="1" thickBot="1" x14ac:dyDescent="0.3">
      <c r="A31" s="437"/>
      <c r="B31" s="435"/>
      <c r="C31" s="436"/>
      <c r="D31" s="435"/>
      <c r="E31" s="435"/>
      <c r="F31" s="434"/>
      <c r="G31" s="433"/>
      <c r="H31" s="432"/>
    </row>
    <row r="32" spans="1:10" s="447" customFormat="1" ht="21" thickTop="1" x14ac:dyDescent="0.25">
      <c r="A32" s="702" t="s">
        <v>370</v>
      </c>
      <c r="B32" s="703"/>
      <c r="C32" s="703"/>
      <c r="D32" s="703"/>
      <c r="E32" s="703"/>
      <c r="F32" s="703"/>
      <c r="G32" s="703"/>
      <c r="H32" s="448"/>
      <c r="J32" s="418"/>
    </row>
    <row r="33" spans="1:10" ht="20.25" x14ac:dyDescent="0.25">
      <c r="A33" s="461">
        <v>1</v>
      </c>
      <c r="B33" s="460" t="s">
        <v>369</v>
      </c>
      <c r="C33" s="459"/>
      <c r="D33" s="458"/>
      <c r="E33" s="458"/>
      <c r="F33" s="457" t="s">
        <v>368</v>
      </c>
      <c r="G33" s="456" t="s">
        <v>367</v>
      </c>
      <c r="H33" s="455"/>
    </row>
    <row r="34" spans="1:10" s="449" customFormat="1" ht="20.25" x14ac:dyDescent="0.25">
      <c r="A34" s="454">
        <v>1.1000000000000001</v>
      </c>
      <c r="B34" s="445" t="s">
        <v>366</v>
      </c>
      <c r="C34" s="453"/>
      <c r="D34" s="452"/>
      <c r="E34" s="451"/>
      <c r="F34" s="450">
        <f>G46*2%</f>
        <v>3711385.8000000003</v>
      </c>
      <c r="G34" s="450">
        <f>F34</f>
        <v>3711385.8000000003</v>
      </c>
      <c r="H34" s="432"/>
      <c r="J34" s="418"/>
    </row>
    <row r="35" spans="1:10" ht="21" thickBot="1" x14ac:dyDescent="0.3">
      <c r="A35" s="700" t="s">
        <v>365</v>
      </c>
      <c r="B35" s="701"/>
      <c r="C35" s="701"/>
      <c r="D35" s="701"/>
      <c r="E35" s="701"/>
      <c r="F35" s="701"/>
      <c r="G35" s="439">
        <f>SUM(G34:G34)</f>
        <v>3711385.8000000003</v>
      </c>
      <c r="H35" s="438">
        <f>+G35/G46</f>
        <v>0.02</v>
      </c>
    </row>
    <row r="36" spans="1:10" ht="15" customHeight="1" thickTop="1" thickBot="1" x14ac:dyDescent="0.3">
      <c r="A36" s="437"/>
      <c r="B36" s="435"/>
      <c r="C36" s="436"/>
      <c r="D36" s="435"/>
      <c r="E36" s="435"/>
      <c r="F36" s="434"/>
      <c r="G36" s="433"/>
      <c r="H36" s="432"/>
    </row>
    <row r="37" spans="1:10" s="447" customFormat="1" ht="21" thickTop="1" x14ac:dyDescent="0.25">
      <c r="A37" s="707" t="s">
        <v>364</v>
      </c>
      <c r="B37" s="708"/>
      <c r="C37" s="708"/>
      <c r="D37" s="708"/>
      <c r="E37" s="708"/>
      <c r="F37" s="708"/>
      <c r="G37" s="709"/>
      <c r="H37" s="448"/>
      <c r="J37" s="418"/>
    </row>
    <row r="38" spans="1:10" ht="20.25" x14ac:dyDescent="0.25">
      <c r="A38" s="446">
        <v>1</v>
      </c>
      <c r="B38" s="445" t="s">
        <v>363</v>
      </c>
      <c r="C38" s="444"/>
      <c r="D38" s="443"/>
      <c r="E38" s="442"/>
      <c r="F38" s="441">
        <f>G46*6%</f>
        <v>11134157.4</v>
      </c>
      <c r="G38" s="440">
        <f>+F38</f>
        <v>11134157.4</v>
      </c>
      <c r="H38" s="432"/>
    </row>
    <row r="39" spans="1:10" ht="21" thickBot="1" x14ac:dyDescent="0.3">
      <c r="A39" s="700" t="s">
        <v>362</v>
      </c>
      <c r="B39" s="701"/>
      <c r="C39" s="701"/>
      <c r="D39" s="701"/>
      <c r="E39" s="701"/>
      <c r="F39" s="701"/>
      <c r="G39" s="439">
        <f>SUM(G38:G38)</f>
        <v>11134157.4</v>
      </c>
      <c r="H39" s="438">
        <f>+G39/G46</f>
        <v>6.0000000000000005E-2</v>
      </c>
    </row>
    <row r="40" spans="1:10" ht="21" thickTop="1" x14ac:dyDescent="0.25">
      <c r="A40" s="437"/>
      <c r="B40" s="435"/>
      <c r="C40" s="436"/>
      <c r="D40" s="435"/>
      <c r="E40" s="435"/>
      <c r="F40" s="434"/>
      <c r="G40" s="433"/>
      <c r="H40" s="432"/>
    </row>
    <row r="41" spans="1:10" ht="20.25" x14ac:dyDescent="0.25">
      <c r="A41" s="682" t="s">
        <v>361</v>
      </c>
      <c r="B41" s="683"/>
      <c r="C41" s="683"/>
      <c r="D41" s="683"/>
      <c r="E41" s="683"/>
      <c r="F41" s="683"/>
      <c r="G41" s="431">
        <f>+G39+G35+G30</f>
        <v>64949251.5</v>
      </c>
      <c r="H41" s="430">
        <f>SUM(H39+H35+H30)</f>
        <v>0.35</v>
      </c>
    </row>
    <row r="42" spans="1:10" ht="18.75" thickBot="1" x14ac:dyDescent="0.3">
      <c r="A42" s="688" t="s">
        <v>302</v>
      </c>
      <c r="B42" s="689"/>
      <c r="C42" s="689"/>
      <c r="D42" s="689"/>
      <c r="E42" s="689"/>
      <c r="F42" s="690"/>
      <c r="G42" s="428">
        <f>G46</f>
        <v>185569290</v>
      </c>
      <c r="H42" s="429"/>
    </row>
    <row r="43" spans="1:10" ht="19.5" thickTop="1" thickBot="1" x14ac:dyDescent="0.3">
      <c r="A43" s="688" t="s">
        <v>360</v>
      </c>
      <c r="B43" s="689"/>
      <c r="C43" s="689"/>
      <c r="D43" s="689"/>
      <c r="E43" s="689"/>
      <c r="F43" s="690"/>
      <c r="G43" s="428">
        <f>G46+G41</f>
        <v>250518541.5</v>
      </c>
      <c r="H43" s="427"/>
    </row>
    <row r="44" spans="1:10" ht="15" thickTop="1" x14ac:dyDescent="0.25">
      <c r="F44" s="426"/>
    </row>
    <row r="45" spans="1:10" ht="59.25" customHeight="1" x14ac:dyDescent="0.25">
      <c r="C45" s="576"/>
      <c r="G45" s="425"/>
      <c r="H45" s="424"/>
    </row>
    <row r="46" spans="1:10" ht="18" x14ac:dyDescent="0.25">
      <c r="B46" s="577"/>
      <c r="C46" s="578" t="s">
        <v>420</v>
      </c>
      <c r="D46" s="578"/>
      <c r="E46" s="578"/>
      <c r="F46" s="426"/>
      <c r="G46" s="510">
        <v>185569290</v>
      </c>
      <c r="H46" s="511" t="s">
        <v>302</v>
      </c>
    </row>
    <row r="47" spans="1:10" ht="16.5" customHeight="1" x14ac:dyDescent="0.25">
      <c r="B47" s="579" t="s">
        <v>421</v>
      </c>
      <c r="D47" s="579"/>
      <c r="E47" s="579"/>
      <c r="F47" s="426"/>
      <c r="G47" s="510">
        <v>64949251.499999993</v>
      </c>
      <c r="H47" s="511" t="s">
        <v>359</v>
      </c>
    </row>
    <row r="48" spans="1:10" ht="18" customHeight="1" x14ac:dyDescent="0.25">
      <c r="F48" s="426"/>
      <c r="G48" s="510">
        <v>250518541.5</v>
      </c>
      <c r="H48" s="511" t="s">
        <v>35</v>
      </c>
    </row>
  </sheetData>
  <mergeCells count="12">
    <mergeCell ref="A37:G37"/>
    <mergeCell ref="A39:F39"/>
    <mergeCell ref="A41:F41"/>
    <mergeCell ref="A43:F43"/>
    <mergeCell ref="A42:F42"/>
    <mergeCell ref="A32:G32"/>
    <mergeCell ref="A35:F35"/>
    <mergeCell ref="A1:H1"/>
    <mergeCell ref="A3:G3"/>
    <mergeCell ref="A10:F10"/>
    <mergeCell ref="A18:F18"/>
    <mergeCell ref="A30:F3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Ppto Ejecutado 2016</vt:lpstr>
      <vt:lpstr>Ppto Detallado 2017</vt:lpstr>
      <vt:lpstr>Ppto Detallado 2016-2019</vt:lpstr>
      <vt:lpstr>Presupuesto Consolidado</vt:lpstr>
      <vt:lpstr>Cronograma</vt:lpstr>
      <vt:lpstr>Cotizaciones Materiales</vt:lpstr>
      <vt:lpstr>Cotizaciones Señalización</vt:lpstr>
      <vt:lpstr>Anexo A.I.U.</vt:lpstr>
      <vt:lpstr>A.I.U. Obra Señal. Vert.</vt:lpstr>
      <vt:lpstr>A.P.U. Señal Vertical</vt:lpstr>
      <vt:lpstr>A.P.U. Mtto Señal Vert.</vt:lpstr>
      <vt:lpstr>Mano Obra 2016</vt:lpstr>
      <vt:lpstr>Interventoría Señalización Vert</vt:lpstr>
      <vt:lpstr>Factor Mult. 2.10</vt:lpstr>
      <vt:lpstr>'Ppto Detallado 2016-2019'!Títulos_a_imprimir</vt:lpstr>
      <vt:lpstr>'Ppto Detallado 2017'!Títulos_a_imprimir</vt:lpstr>
      <vt:lpstr>'Ppto Ejecutado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Admin</cp:lastModifiedBy>
  <cp:lastPrinted>2017-01-22T20:22:26Z</cp:lastPrinted>
  <dcterms:created xsi:type="dcterms:W3CDTF">2011-08-04T15:57:03Z</dcterms:created>
  <dcterms:modified xsi:type="dcterms:W3CDTF">2017-09-25T13:02:26Z</dcterms:modified>
</cp:coreProperties>
</file>