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aquin_herazo\Desktop\"/>
    </mc:Choice>
  </mc:AlternateContent>
  <bookViews>
    <workbookView xWindow="0" yWindow="0" windowWidth="24000" windowHeight="9735" activeTab="1"/>
  </bookViews>
  <sheets>
    <sheet name="PROYECTO 2020" sheetId="1" r:id="rId1"/>
    <sheet name="EJEGAS 2020" sheetId="2" r:id="rId2"/>
    <sheet name="EJEING 2020" sheetId="3" r:id="rId3"/>
    <sheet name="Hoja1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0" i="2" l="1"/>
  <c r="O58" i="2"/>
  <c r="O43" i="2"/>
  <c r="T30" i="2"/>
  <c r="Q27" i="2"/>
  <c r="N26" i="2"/>
  <c r="T26" i="2" s="1"/>
  <c r="S25" i="2"/>
  <c r="T25" i="2" s="1"/>
  <c r="O18" i="2"/>
  <c r="O10" i="2"/>
  <c r="P8" i="2"/>
  <c r="T8" i="2" s="1"/>
  <c r="T73" i="2"/>
  <c r="T72" i="2"/>
  <c r="T71" i="2"/>
  <c r="T70" i="2"/>
  <c r="T69" i="2"/>
  <c r="T65" i="2"/>
  <c r="T64" i="2"/>
  <c r="T59" i="2"/>
  <c r="T58" i="2"/>
  <c r="T57" i="2"/>
  <c r="T56" i="2"/>
  <c r="T54" i="2"/>
  <c r="T53" i="2"/>
  <c r="T52" i="2"/>
  <c r="T51" i="2"/>
  <c r="T49" i="2"/>
  <c r="T48" i="2"/>
  <c r="T47" i="2"/>
  <c r="T46" i="2"/>
  <c r="T45" i="2"/>
  <c r="T44" i="2"/>
  <c r="T42" i="2"/>
  <c r="T41" i="2"/>
  <c r="T40" i="2"/>
  <c r="T38" i="2"/>
  <c r="T37" i="2"/>
  <c r="T36" i="2"/>
  <c r="T35" i="2"/>
  <c r="T34" i="2"/>
  <c r="T33" i="2"/>
  <c r="T29" i="2"/>
  <c r="T28" i="2"/>
  <c r="T27" i="2"/>
  <c r="T23" i="2"/>
  <c r="T22" i="2"/>
  <c r="T21" i="2"/>
  <c r="T20" i="2"/>
  <c r="T18" i="2"/>
  <c r="T17" i="2"/>
  <c r="T16" i="2"/>
  <c r="T15" i="2"/>
  <c r="T14" i="2"/>
  <c r="T13" i="2"/>
  <c r="T12" i="2"/>
  <c r="T11" i="2"/>
  <c r="T10" i="2"/>
  <c r="T9" i="2"/>
  <c r="S55" i="2"/>
  <c r="S50" i="2"/>
  <c r="S39" i="2"/>
  <c r="S32" i="2"/>
  <c r="S19" i="2"/>
  <c r="S61" i="2" s="1"/>
  <c r="S75" i="2" s="1"/>
  <c r="S24" i="2"/>
  <c r="S7" i="2"/>
  <c r="G93" i="2" l="1"/>
  <c r="R78" i="3" l="1"/>
  <c r="R77" i="3"/>
  <c r="R76" i="3"/>
  <c r="R75" i="3"/>
  <c r="R69" i="3"/>
  <c r="R68" i="3"/>
  <c r="R67" i="3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6" i="3"/>
  <c r="Q81" i="3"/>
  <c r="Q74" i="3"/>
  <c r="Q7" i="3"/>
  <c r="Q70" i="3" s="1"/>
  <c r="Q82" i="3" s="1"/>
  <c r="Q5" i="3"/>
  <c r="Q76" i="3"/>
  <c r="Q42" i="3"/>
  <c r="Q9" i="3"/>
  <c r="Q69" i="3"/>
  <c r="Q16" i="3" l="1"/>
  <c r="R55" i="2" l="1"/>
  <c r="R50" i="2"/>
  <c r="R39" i="2"/>
  <c r="R32" i="2"/>
  <c r="R24" i="2"/>
  <c r="R19" i="2"/>
  <c r="R7" i="2"/>
  <c r="R61" i="2" l="1"/>
  <c r="R75" i="2" s="1"/>
  <c r="P74" i="3"/>
  <c r="P81" i="3" s="1"/>
  <c r="P7" i="3"/>
  <c r="P75" i="3"/>
  <c r="P76" i="3"/>
  <c r="P44" i="3"/>
  <c r="P42" i="3"/>
  <c r="P69" i="3"/>
  <c r="P16" i="3"/>
  <c r="P5" i="3"/>
  <c r="P70" i="3" s="1"/>
  <c r="P82" i="3" s="1"/>
  <c r="O5" i="3"/>
  <c r="O75" i="3" l="1"/>
  <c r="O74" i="3" s="1"/>
  <c r="O81" i="3" s="1"/>
  <c r="O44" i="3"/>
  <c r="O42" i="3"/>
  <c r="O69" i="3"/>
  <c r="Q55" i="2" l="1"/>
  <c r="Q50" i="2"/>
  <c r="Q39" i="2"/>
  <c r="Q32" i="2"/>
  <c r="Q24" i="2"/>
  <c r="Q19" i="2"/>
  <c r="Q7" i="2"/>
  <c r="Q61" i="2" l="1"/>
  <c r="Q75" i="2" s="1"/>
  <c r="O16" i="3"/>
  <c r="O7" i="3" s="1"/>
  <c r="O70" i="3" s="1"/>
  <c r="O82" i="3" s="1"/>
  <c r="I42" i="3" l="1"/>
  <c r="G73" i="2" l="1"/>
  <c r="G72" i="2"/>
  <c r="G71" i="2"/>
  <c r="G70" i="2"/>
  <c r="G69" i="2"/>
  <c r="G65" i="2"/>
  <c r="G64" i="2"/>
  <c r="G60" i="2"/>
  <c r="G59" i="2"/>
  <c r="G58" i="2"/>
  <c r="G57" i="2"/>
  <c r="G56" i="2"/>
  <c r="G54" i="2"/>
  <c r="G53" i="2"/>
  <c r="G52" i="2"/>
  <c r="G51" i="2"/>
  <c r="G49" i="2"/>
  <c r="G48" i="2"/>
  <c r="G47" i="2"/>
  <c r="G46" i="2"/>
  <c r="G45" i="2"/>
  <c r="G44" i="2"/>
  <c r="G43" i="2"/>
  <c r="G42" i="2"/>
  <c r="G41" i="2"/>
  <c r="G40" i="2"/>
  <c r="G38" i="2"/>
  <c r="G37" i="2"/>
  <c r="G36" i="2"/>
  <c r="G35" i="2"/>
  <c r="G34" i="2"/>
  <c r="G33" i="2"/>
  <c r="G30" i="2"/>
  <c r="G29" i="2"/>
  <c r="G28" i="2"/>
  <c r="G27" i="2"/>
  <c r="G26" i="2"/>
  <c r="G25" i="2"/>
  <c r="G23" i="2"/>
  <c r="G22" i="2"/>
  <c r="G21" i="2"/>
  <c r="G20" i="2"/>
  <c r="G18" i="2"/>
  <c r="G17" i="2"/>
  <c r="G16" i="2"/>
  <c r="G15" i="2"/>
  <c r="G14" i="2"/>
  <c r="G13" i="2"/>
  <c r="G12" i="2"/>
  <c r="G11" i="2"/>
  <c r="G10" i="2"/>
  <c r="G9" i="2"/>
  <c r="G8" i="2"/>
  <c r="P32" i="2"/>
  <c r="O32" i="2"/>
  <c r="P55" i="2"/>
  <c r="P50" i="2"/>
  <c r="P39" i="2"/>
  <c r="P24" i="2"/>
  <c r="P19" i="2"/>
  <c r="P7" i="2"/>
  <c r="P61" i="2" l="1"/>
  <c r="P75" i="2" s="1"/>
  <c r="N5" i="3"/>
  <c r="N74" i="3"/>
  <c r="N81" i="3" s="1"/>
  <c r="N10" i="3"/>
  <c r="N8" i="3"/>
  <c r="N42" i="3"/>
  <c r="N77" i="3"/>
  <c r="N69" i="3"/>
  <c r="N13" i="3" l="1"/>
  <c r="N27" i="3"/>
  <c r="N7" i="3" l="1"/>
  <c r="N70" i="3" s="1"/>
  <c r="N82" i="3" s="1"/>
  <c r="O55" i="2"/>
  <c r="N55" i="2"/>
  <c r="N32" i="2"/>
  <c r="M32" i="2"/>
  <c r="O50" i="2"/>
  <c r="N50" i="2"/>
  <c r="O39" i="2"/>
  <c r="N39" i="2"/>
  <c r="O24" i="2"/>
  <c r="N24" i="2"/>
  <c r="O19" i="2"/>
  <c r="N19" i="2"/>
  <c r="O7" i="2"/>
  <c r="N7" i="2"/>
  <c r="O61" i="2" l="1"/>
  <c r="O75" i="2" s="1"/>
  <c r="N61" i="2"/>
  <c r="N75" i="2" s="1"/>
  <c r="M6" i="3" l="1"/>
  <c r="M5" i="3" s="1"/>
  <c r="M42" i="3"/>
  <c r="M21" i="3"/>
  <c r="M16" i="3"/>
  <c r="M10" i="3"/>
  <c r="M7" i="3" s="1"/>
  <c r="M27" i="3"/>
  <c r="L15" i="3"/>
  <c r="L6" i="3"/>
  <c r="L5" i="3" s="1"/>
  <c r="L70" i="3" s="1"/>
  <c r="K42" i="3"/>
  <c r="L69" i="3"/>
  <c r="L21" i="3"/>
  <c r="L16" i="3"/>
  <c r="L7" i="3" s="1"/>
  <c r="L27" i="3"/>
  <c r="M75" i="3"/>
  <c r="M74" i="3" s="1"/>
  <c r="M81" i="3" s="1"/>
  <c r="L75" i="3"/>
  <c r="L74" i="3" s="1"/>
  <c r="L81" i="3" s="1"/>
  <c r="M70" i="3" l="1"/>
  <c r="M82" i="3"/>
  <c r="L82" i="3"/>
  <c r="T19" i="2" l="1"/>
  <c r="T7" i="2"/>
  <c r="M55" i="2"/>
  <c r="M50" i="2"/>
  <c r="M39" i="2"/>
  <c r="M24" i="2"/>
  <c r="M19" i="2"/>
  <c r="M7" i="2"/>
  <c r="C7" i="2"/>
  <c r="D7" i="2"/>
  <c r="E7" i="2"/>
  <c r="F7" i="2"/>
  <c r="G7" i="2"/>
  <c r="H7" i="2"/>
  <c r="I7" i="2"/>
  <c r="J7" i="2"/>
  <c r="K7" i="2"/>
  <c r="L7" i="2"/>
  <c r="C19" i="2"/>
  <c r="D19" i="2"/>
  <c r="E19" i="2"/>
  <c r="F19" i="2"/>
  <c r="G19" i="2"/>
  <c r="H19" i="2"/>
  <c r="I19" i="2"/>
  <c r="J19" i="2"/>
  <c r="K19" i="2"/>
  <c r="L19" i="2"/>
  <c r="M61" i="2" l="1"/>
  <c r="M75" i="2" s="1"/>
  <c r="K69" i="3"/>
  <c r="K5" i="3"/>
  <c r="K78" i="3"/>
  <c r="K68" i="3"/>
  <c r="K21" i="3"/>
  <c r="K16" i="3"/>
  <c r="K14" i="3" l="1"/>
  <c r="K75" i="3"/>
  <c r="K74" i="3" s="1"/>
  <c r="K81" i="3" s="1"/>
  <c r="K8" i="3"/>
  <c r="K7" i="3" s="1"/>
  <c r="K70" i="3" s="1"/>
  <c r="K82" i="3" s="1"/>
  <c r="L74" i="2" l="1"/>
  <c r="L55" i="2"/>
  <c r="K55" i="2"/>
  <c r="L50" i="2"/>
  <c r="L39" i="2"/>
  <c r="L32" i="2"/>
  <c r="L24" i="2"/>
  <c r="L61" i="2" l="1"/>
  <c r="L75" i="2" s="1"/>
  <c r="J6" i="3"/>
  <c r="J5" i="3"/>
  <c r="J76" i="3"/>
  <c r="J75" i="3"/>
  <c r="J74" i="3" s="1"/>
  <c r="J81" i="3" s="1"/>
  <c r="J8" i="3"/>
  <c r="J7" i="3" s="1"/>
  <c r="J69" i="3"/>
  <c r="J42" i="3"/>
  <c r="J21" i="3"/>
  <c r="J16" i="3"/>
  <c r="J10" i="3"/>
  <c r="J27" i="3"/>
  <c r="T24" i="2"/>
  <c r="T32" i="2"/>
  <c r="T50" i="2"/>
  <c r="T55" i="2"/>
  <c r="T74" i="2"/>
  <c r="J70" i="3" l="1"/>
  <c r="J82" i="3" s="1"/>
  <c r="K74" i="2"/>
  <c r="K50" i="2"/>
  <c r="K39" i="2"/>
  <c r="K32" i="2"/>
  <c r="K24" i="2"/>
  <c r="K61" i="2" l="1"/>
  <c r="K75" i="2" s="1"/>
  <c r="I6" i="3"/>
  <c r="I16" i="3"/>
  <c r="I7" i="3" s="1"/>
  <c r="I27" i="3"/>
  <c r="I75" i="3"/>
  <c r="I74" i="3" s="1"/>
  <c r="I81" i="3" s="1"/>
  <c r="I5" i="3" l="1"/>
  <c r="I70" i="3"/>
  <c r="I82" i="3" s="1"/>
  <c r="J74" i="2"/>
  <c r="I74" i="2"/>
  <c r="H74" i="2"/>
  <c r="G74" i="2"/>
  <c r="F74" i="2"/>
  <c r="E74" i="2"/>
  <c r="D74" i="2"/>
  <c r="J55" i="2"/>
  <c r="I55" i="2"/>
  <c r="H55" i="2"/>
  <c r="G55" i="2"/>
  <c r="F55" i="2"/>
  <c r="E55" i="2"/>
  <c r="D55" i="2"/>
  <c r="J50" i="2"/>
  <c r="I50" i="2"/>
  <c r="H50" i="2"/>
  <c r="G50" i="2"/>
  <c r="F50" i="2"/>
  <c r="E50" i="2"/>
  <c r="D50" i="2"/>
  <c r="I39" i="2"/>
  <c r="H39" i="2"/>
  <c r="G39" i="2"/>
  <c r="F39" i="2"/>
  <c r="E39" i="2"/>
  <c r="D39" i="2"/>
  <c r="J32" i="2"/>
  <c r="I32" i="2"/>
  <c r="H32" i="2"/>
  <c r="G32" i="2"/>
  <c r="F32" i="2"/>
  <c r="E32" i="2"/>
  <c r="D32" i="2"/>
  <c r="J24" i="2"/>
  <c r="I24" i="2"/>
  <c r="H24" i="2"/>
  <c r="G24" i="2"/>
  <c r="F24" i="2"/>
  <c r="E24" i="2"/>
  <c r="D24" i="2"/>
  <c r="J43" i="2"/>
  <c r="T43" i="2" s="1"/>
  <c r="D61" i="2" l="1"/>
  <c r="D75" i="2" s="1"/>
  <c r="T39" i="2"/>
  <c r="T61" i="2" s="1"/>
  <c r="T75" i="2" s="1"/>
  <c r="E61" i="2"/>
  <c r="E75" i="2" s="1"/>
  <c r="F61" i="2"/>
  <c r="F75" i="2" s="1"/>
  <c r="J39" i="2"/>
  <c r="J61" i="2" s="1"/>
  <c r="J75" i="2" s="1"/>
  <c r="G61" i="2"/>
  <c r="G75" i="2" s="1"/>
  <c r="H61" i="2"/>
  <c r="H75" i="2" s="1"/>
  <c r="I61" i="2"/>
  <c r="I75" i="2" s="1"/>
  <c r="R5" i="3"/>
  <c r="G21" i="3"/>
  <c r="F21" i="3"/>
  <c r="H44" i="3"/>
  <c r="H69" i="3"/>
  <c r="H16" i="3"/>
  <c r="H7" i="3" s="1"/>
  <c r="H76" i="3"/>
  <c r="H46" i="3"/>
  <c r="H42" i="3"/>
  <c r="H27" i="3"/>
  <c r="H75" i="3"/>
  <c r="H8" i="3"/>
  <c r="G69" i="3"/>
  <c r="G76" i="3"/>
  <c r="F14" i="3"/>
  <c r="G27" i="3"/>
  <c r="G46" i="3"/>
  <c r="G75" i="3"/>
  <c r="G8" i="3"/>
  <c r="G7" i="3" s="1"/>
  <c r="H74" i="3" l="1"/>
  <c r="H81" i="3" s="1"/>
  <c r="G74" i="3"/>
  <c r="G81" i="3" s="1"/>
  <c r="E74" i="3"/>
  <c r="E81" i="3" s="1"/>
  <c r="D74" i="3"/>
  <c r="D81" i="3" s="1"/>
  <c r="F10" i="3"/>
  <c r="E7" i="3"/>
  <c r="D7" i="3"/>
  <c r="G5" i="3"/>
  <c r="G70" i="3" s="1"/>
  <c r="F5" i="3"/>
  <c r="E5" i="3"/>
  <c r="D5" i="3"/>
  <c r="H5" i="3"/>
  <c r="H70" i="3" s="1"/>
  <c r="D70" i="3" l="1"/>
  <c r="D82" i="3"/>
  <c r="E70" i="3"/>
  <c r="E82" i="3" s="1"/>
  <c r="H82" i="3"/>
  <c r="G82" i="3"/>
  <c r="F16" i="3"/>
  <c r="F76" i="3" l="1"/>
  <c r="F75" i="3" l="1"/>
  <c r="F8" i="3"/>
  <c r="R7" i="3" l="1"/>
  <c r="R70" i="3" s="1"/>
  <c r="F7" i="3"/>
  <c r="F70" i="3" s="1"/>
  <c r="R74" i="3"/>
  <c r="R81" i="3" s="1"/>
  <c r="F74" i="3"/>
  <c r="F81" i="3" s="1"/>
  <c r="C8" i="3"/>
  <c r="C7" i="3"/>
  <c r="C39" i="2"/>
  <c r="C50" i="2"/>
  <c r="C55" i="2"/>
  <c r="C74" i="2"/>
  <c r="C32" i="2"/>
  <c r="C24" i="2"/>
  <c r="C74" i="3"/>
  <c r="C81" i="3" s="1"/>
  <c r="C5" i="3"/>
  <c r="C22" i="1"/>
  <c r="C29" i="1" s="1"/>
  <c r="C7" i="1"/>
  <c r="C4" i="1"/>
  <c r="C13" i="1" s="1"/>
  <c r="F82" i="3" l="1"/>
  <c r="R82" i="3"/>
  <c r="C70" i="3"/>
  <c r="C82" i="3" s="1"/>
  <c r="C61" i="2"/>
  <c r="C75" i="2" s="1"/>
</calcChain>
</file>

<file path=xl/sharedStrings.xml><?xml version="1.0" encoding="utf-8"?>
<sst xmlns="http://schemas.openxmlformats.org/spreadsheetml/2006/main" count="289" uniqueCount="270">
  <si>
    <t>INSPECCION DE TRANSITO Y TRANSPORTE DE BARRANCABERMEJA</t>
  </si>
  <si>
    <t>CODIGO PPTAL</t>
  </si>
  <si>
    <t>CONCEPTO</t>
  </si>
  <si>
    <t>INGRESOS CORRIENTES</t>
  </si>
  <si>
    <t>INGRESOS TRIBUTARIOS</t>
  </si>
  <si>
    <t>INGRESOS NO TRIBUTARIOS</t>
  </si>
  <si>
    <t>RECURSOS DE CAPITAL</t>
  </si>
  <si>
    <t>RECURSOS DEL CREDITO</t>
  </si>
  <si>
    <t>RECURSOS DEL BALANCE</t>
  </si>
  <si>
    <t>RECUPERACION DE CARTERA</t>
  </si>
  <si>
    <t>RENDIMIENTO FINANCIERO</t>
  </si>
  <si>
    <t>VENTA ACTIVOS</t>
  </si>
  <si>
    <t>GASTOS DE FUNCIONAMIENTO</t>
  </si>
  <si>
    <t>DEUDA PUBLICA</t>
  </si>
  <si>
    <t>INVERSION: PROGRAMA MOVILIDAD URBANA</t>
  </si>
  <si>
    <t>FUENTE: RECURSOS PROPIOS</t>
  </si>
  <si>
    <t>PLAN DE MOVILIDAD URBANA SOSTENIBLE (PMUS)</t>
  </si>
  <si>
    <t>SISTEMA INTEGRAL DE CONTROL DE TRAFICO</t>
  </si>
  <si>
    <t>EQUIPAMENTO URBANO Y LOGISTICO PARA EL TRANSPORTE</t>
  </si>
  <si>
    <t>CULTURA DE LA MOVILIDAD SEGURA</t>
  </si>
  <si>
    <t>FORTALECIMIENTO INSTITUCIONAL DE LA ITTB</t>
  </si>
  <si>
    <t>ANTEPROYECTO PRESUPUESTO DE INGRESOS VIGENCIA 2.020</t>
  </si>
  <si>
    <t>CODIGO PRESUPUESTAL</t>
  </si>
  <si>
    <t xml:space="preserve">CONCEPTO </t>
  </si>
  <si>
    <t xml:space="preserve">SERVICIOS PERSONALES </t>
  </si>
  <si>
    <t>SERVICIOS PERSONALES ASOCIADOS A LA NOMINA</t>
  </si>
  <si>
    <t>SUELDO PERSONAL DE NOMINA</t>
  </si>
  <si>
    <t>PRIMA DE NAVIDAD</t>
  </si>
  <si>
    <t>PRIMA DE VACACIONES</t>
  </si>
  <si>
    <t>INDEMNIZACION POR VACACIONES</t>
  </si>
  <si>
    <t>SUBSIDIO DE TRANSPORTE</t>
  </si>
  <si>
    <t>SEGURO DE VIDA</t>
  </si>
  <si>
    <t>JORNALES HORAS EXTRAS Y DEMAS PRES. SOCIALES</t>
  </si>
  <si>
    <t>TRABAJOS SUPLEMENTARIOS</t>
  </si>
  <si>
    <t>PRIMA DE SERVICIOS</t>
  </si>
  <si>
    <t xml:space="preserve">BONIFICACION POR SERVICIOS PRESTADOS </t>
  </si>
  <si>
    <t>BONIFICACION POR RECREACION</t>
  </si>
  <si>
    <t>SERVICIOS PERSONALES INDIRECTOS</t>
  </si>
  <si>
    <t>REMUNERACION POR SERVICIOS TECNICOS Y PROFESIONALES</t>
  </si>
  <si>
    <t>PERSONAL TEMPORAL Y SUPERNUMERARIO</t>
  </si>
  <si>
    <t>LEY 769 ART 160 (PROY. SEG. VIAL)</t>
  </si>
  <si>
    <t>OTROS GASTOS POR SERVICIOS PERSONALES</t>
  </si>
  <si>
    <t>CONTRIBUCIONES INHERENTES A LA NOMINA SECTOR PRIVADO</t>
  </si>
  <si>
    <t>CAJA DECOMPENSACIÒN FAMILIAR (4%)</t>
  </si>
  <si>
    <t>APORTES AL INST. COL. BIENESTAR FAMILIAR (3%)</t>
  </si>
  <si>
    <t>APORTES AL SENA (2%)</t>
  </si>
  <si>
    <t>APORTES A LA ESCUELA SUP. DE ADMON. PUBLICA</t>
  </si>
  <si>
    <t>APORTES A ESC. IND. E INST. TEC. DTAL. DIST. Y M/PALES</t>
  </si>
  <si>
    <t>APORTES A LA SEGURIDAD SOCIAL</t>
  </si>
  <si>
    <t>GASTOS GENERALES</t>
  </si>
  <si>
    <t>ADQUISICIÒN DE BIENES</t>
  </si>
  <si>
    <t>COMPRA DE EQUIPOS</t>
  </si>
  <si>
    <t xml:space="preserve">MATERIALES Y SUMINISTROS </t>
  </si>
  <si>
    <t>LEY 769 ART 160 (COMBUSTIBLE-EQUIPOS-DOTACION PROY SEG VIAL)</t>
  </si>
  <si>
    <t>IMPRESOS Y PUBLICACIONES</t>
  </si>
  <si>
    <t>GASTOS IMPREVISTOS</t>
  </si>
  <si>
    <t>ESPECIES VENALES</t>
  </si>
  <si>
    <t>ADQUISICIÒN DE SERVICIOS</t>
  </si>
  <si>
    <t>COMUNICACIONES Y TRANSPORTE</t>
  </si>
  <si>
    <t xml:space="preserve">MANTENIMIENTO </t>
  </si>
  <si>
    <t>SEGUROS</t>
  </si>
  <si>
    <t>SERVICIOS PUBLICOS</t>
  </si>
  <si>
    <t>VIATICOS Y GASTOS DE VIAJE</t>
  </si>
  <si>
    <t xml:space="preserve">ARRENDAMIENTO DE BIENES E INMUEBLES </t>
  </si>
  <si>
    <t>IMPUESTOS, TASAS, MULTAS Y REVISIONES</t>
  </si>
  <si>
    <t>GASTOS FINANCIEROS</t>
  </si>
  <si>
    <t>PLAN DE MANEJO AMBIENTAL</t>
  </si>
  <si>
    <t>OTROS GASTOS GENERALES</t>
  </si>
  <si>
    <t>MESADA PENSIONAL</t>
  </si>
  <si>
    <t>BONO PENSIONAL</t>
  </si>
  <si>
    <t>CESANTIAS</t>
  </si>
  <si>
    <t>INTERESES DE CESANTIAS</t>
  </si>
  <si>
    <t>OTRAS TRANSFERENCIAS CORRIENTES</t>
  </si>
  <si>
    <t>CUMP. DE SENTENCIAS TRANSACCIONES CURADURIAS</t>
  </si>
  <si>
    <t>GASTOS DE CAPACITACION BIENESTAR SOCIAL E INCENTIVOS</t>
  </si>
  <si>
    <t>PACTOS CONVENCIONALES</t>
  </si>
  <si>
    <t>SISTEMA DE GESTION EN SEGURIDAD Y SALUD EN EL TRABAJO</t>
  </si>
  <si>
    <t>DEFICIT FISCAL</t>
  </si>
  <si>
    <t xml:space="preserve">TOTAL GASTOS DE FUNCIONAMIENTO </t>
  </si>
  <si>
    <t>SERVICIO DE LA DEUDA PUBLICA</t>
  </si>
  <si>
    <t>AMORTIZACIÒN DE CAPITAL</t>
  </si>
  <si>
    <t>INTERESES, COMISIONES Y DEMAS EROGACIONES DE LA DEUDA</t>
  </si>
  <si>
    <t>TOTAL DEUDA PUBLICA DE LA I.T.T.B</t>
  </si>
  <si>
    <t>GASTOS DE INVERSION</t>
  </si>
  <si>
    <t>PROGRAMA DE MOVILIDAD URBANA</t>
  </si>
  <si>
    <t>PLAN DE MOVILIDAD URBANA SOSTENIBLE</t>
  </si>
  <si>
    <t>TOTAL GASTOS DE INVERSION</t>
  </si>
  <si>
    <t>DETALLE</t>
  </si>
  <si>
    <t>1.1.1</t>
  </si>
  <si>
    <t>IMP. SOBRE VEHICULOS AUTOMOTORES</t>
  </si>
  <si>
    <t>1.2.1</t>
  </si>
  <si>
    <t>MULTAS</t>
  </si>
  <si>
    <t>1.2.2</t>
  </si>
  <si>
    <t>PORTE DE PLACAS</t>
  </si>
  <si>
    <t>1.2.3</t>
  </si>
  <si>
    <t>FORMATO DE FACTURACION</t>
  </si>
  <si>
    <t>1.2.4</t>
  </si>
  <si>
    <t>LICENCIA DE CONDUCCION</t>
  </si>
  <si>
    <t>1.2.5</t>
  </si>
  <si>
    <t>CERTIFICACION  DE LICENCIAS DE CONDUCCION</t>
  </si>
  <si>
    <t>1.2.6</t>
  </si>
  <si>
    <t>AVALUOS COMERCIALES</t>
  </si>
  <si>
    <t>1.2.7</t>
  </si>
  <si>
    <t>LEVANTAMIENTO DE CROQUIS</t>
  </si>
  <si>
    <t>1.2.8</t>
  </si>
  <si>
    <t>SERVICIO DE GRUA</t>
  </si>
  <si>
    <t>1.2.9</t>
  </si>
  <si>
    <t>GARAJE Y PARQUEO</t>
  </si>
  <si>
    <t>1.2.10</t>
  </si>
  <si>
    <t>SERVICIO DE ALFEREZ</t>
  </si>
  <si>
    <t>1.2.11</t>
  </si>
  <si>
    <t>PRUEBA DE ALCOHOLEMIA</t>
  </si>
  <si>
    <t>1.2.12</t>
  </si>
  <si>
    <t>CHEQUEOS OTRAS PLAZAS</t>
  </si>
  <si>
    <t>1.2.13</t>
  </si>
  <si>
    <t>CHEQUEOS A DOMICICLIO</t>
  </si>
  <si>
    <t>1.2.14</t>
  </si>
  <si>
    <t>MATRICULAS</t>
  </si>
  <si>
    <t>1.2.15</t>
  </si>
  <si>
    <t>PORTE Y TELEGRAMAS</t>
  </si>
  <si>
    <t>1.2.16</t>
  </si>
  <si>
    <t>TRASPASO</t>
  </si>
  <si>
    <t>1.2.17</t>
  </si>
  <si>
    <t>RADICACION DE CUENTA</t>
  </si>
  <si>
    <t>1.2.18</t>
  </si>
  <si>
    <t>TRASLADO DE CUENTA</t>
  </si>
  <si>
    <t>1.2.19</t>
  </si>
  <si>
    <t>CANCELACION MATRICULA</t>
  </si>
  <si>
    <t>1.2.20</t>
  </si>
  <si>
    <t>CERTIFICADO DE TRADICION</t>
  </si>
  <si>
    <t>1.2.21</t>
  </si>
  <si>
    <t>CERTIFICADO DE PROPIEDAD</t>
  </si>
  <si>
    <t>1.2.22</t>
  </si>
  <si>
    <t>1.2.23</t>
  </si>
  <si>
    <t>1.2.24</t>
  </si>
  <si>
    <t>PIGNORACION</t>
  </si>
  <si>
    <t>1.2.25</t>
  </si>
  <si>
    <t>DESPIGNORACION</t>
  </si>
  <si>
    <t>1.2.26</t>
  </si>
  <si>
    <t>DUPLICADO DE LICENCIAS TRANSITO</t>
  </si>
  <si>
    <t>1.2.27</t>
  </si>
  <si>
    <t>REGRABACION</t>
  </si>
  <si>
    <t>1.2.28</t>
  </si>
  <si>
    <t>DUPLICADO DE PLACAS</t>
  </si>
  <si>
    <t>1.2.29</t>
  </si>
  <si>
    <t>CAMBIO DE PLACAS</t>
  </si>
  <si>
    <t>1.2.30</t>
  </si>
  <si>
    <t>CAMBIO DE MOTOR</t>
  </si>
  <si>
    <t>1.2.31</t>
  </si>
  <si>
    <t>CAMBIO DE SERVICIO</t>
  </si>
  <si>
    <t>1.2.32</t>
  </si>
  <si>
    <t>CAMBIO DE COLOR</t>
  </si>
  <si>
    <t>1.2.33</t>
  </si>
  <si>
    <t>CAMBIO  DE CARROCERIA</t>
  </si>
  <si>
    <t>1.2.34</t>
  </si>
  <si>
    <t>CAMBIO DE EMPRESA</t>
  </si>
  <si>
    <t>1.2.35</t>
  </si>
  <si>
    <t>CAPACIDAD TRANSPORTADORA</t>
  </si>
  <si>
    <t>1.2.36</t>
  </si>
  <si>
    <t>REGISTRO DE TRAMITE</t>
  </si>
  <si>
    <t>1.2.37</t>
  </si>
  <si>
    <t>TARJETA DE  OPERACIÓN TAXI</t>
  </si>
  <si>
    <t>1.2.38</t>
  </si>
  <si>
    <t>TARJETA DE  OPERACIÓN DE BUSES</t>
  </si>
  <si>
    <t>1.2.39</t>
  </si>
  <si>
    <t>EXPERTICIO TECNICO</t>
  </si>
  <si>
    <t>1.2.40</t>
  </si>
  <si>
    <t>FOTOCOPIAS CERTIFICADAS</t>
  </si>
  <si>
    <t>1.2.41</t>
  </si>
  <si>
    <t>SIN PENDIENTE</t>
  </si>
  <si>
    <t>1.2.42</t>
  </si>
  <si>
    <t>REPOTENCIACION</t>
  </si>
  <si>
    <t>1.2.43</t>
  </si>
  <si>
    <t>REGISTRO FOTOGRAFICO</t>
  </si>
  <si>
    <t>1.2.44</t>
  </si>
  <si>
    <t>REGISTRO POR RECUPERACION EN CASO DE HURTO O PERDIDA DEFINITIVA</t>
  </si>
  <si>
    <t>1.2.45</t>
  </si>
  <si>
    <t>HABILITACION EMPRESA PERSONA NATURAL</t>
  </si>
  <si>
    <t>1.2.46</t>
  </si>
  <si>
    <t>HABILITACION EMPRESA PERSONA JURIDICA</t>
  </si>
  <si>
    <t>1.2.47</t>
  </si>
  <si>
    <t>DESVINCULACION POR MUTUO ACUERDO</t>
  </si>
  <si>
    <t>1.2.48</t>
  </si>
  <si>
    <t>PAZ Y SALVO</t>
  </si>
  <si>
    <t>1.2.49</t>
  </si>
  <si>
    <t>REAVALUO</t>
  </si>
  <si>
    <t>1.2.50</t>
  </si>
  <si>
    <t>RENOVACION DE LICENCIAS DE TRANSITO</t>
  </si>
  <si>
    <t>1.2.51</t>
  </si>
  <si>
    <t>DUPLICADO O RENOVACION TARJETA DE REGISTRO</t>
  </si>
  <si>
    <t>1.2.52</t>
  </si>
  <si>
    <t>BLINDAJE Y DESMONTE</t>
  </si>
  <si>
    <t>1.2.53</t>
  </si>
  <si>
    <t>MODIFICACION DEL PRENDARIO POR ACREEDOR O PROPIETARIO</t>
  </si>
  <si>
    <t>TRANSFORMACION</t>
  </si>
  <si>
    <t>1.2.55</t>
  </si>
  <si>
    <t>REMATRICULA</t>
  </si>
  <si>
    <t>1.2.56</t>
  </si>
  <si>
    <t>CONVERSION A GAS NATURAL</t>
  </si>
  <si>
    <t>1.2.57</t>
  </si>
  <si>
    <t>REGISTRO INICIAL MAQUINARIA AGRICOLA, INDUSTRIAL Y  DE CONSTRUCCION</t>
  </si>
  <si>
    <t>1.2.58</t>
  </si>
  <si>
    <t>CAMBIO DE PROPIETARIO MAQUINARIA INDUSTRIAL</t>
  </si>
  <si>
    <t>1.2.59</t>
  </si>
  <si>
    <t>REFACTURACION</t>
  </si>
  <si>
    <t>1.2.60</t>
  </si>
  <si>
    <t>CONVENIOS</t>
  </si>
  <si>
    <t>1.2.61</t>
  </si>
  <si>
    <t>DEMARCACIONES</t>
  </si>
  <si>
    <t>1.2.62</t>
  </si>
  <si>
    <t>PERMISOS</t>
  </si>
  <si>
    <t>OTROS INGRESOS</t>
  </si>
  <si>
    <t>TOTAL INGRESOS CORRIENTES DE LA I.T.T.B</t>
  </si>
  <si>
    <t>RECURSOS DEL CAPITAL</t>
  </si>
  <si>
    <t>2.3.1</t>
  </si>
  <si>
    <t>Recuperacion cartera  comparendos</t>
  </si>
  <si>
    <t>2.3.2</t>
  </si>
  <si>
    <t>Recuperacion cartera  itereses</t>
  </si>
  <si>
    <t>2.3.3</t>
  </si>
  <si>
    <t>Recuperacion cartera porte de placas</t>
  </si>
  <si>
    <t>2.3.4</t>
  </si>
  <si>
    <t>Recuperacion cartera Sistematizacion y Facturacion</t>
  </si>
  <si>
    <t>2.4.</t>
  </si>
  <si>
    <t>2.5.</t>
  </si>
  <si>
    <t>VENTA DE ACTIVO</t>
  </si>
  <si>
    <t>TOTAL INGRESOS CAPITAL DE LA I.T.T.B</t>
  </si>
  <si>
    <t>PPTO 2020</t>
  </si>
  <si>
    <t xml:space="preserve"> PPTO 2020</t>
  </si>
  <si>
    <t xml:space="preserve">SISTEMA INTEGRAL DE CONTROL DE TRAFICO </t>
  </si>
  <si>
    <t>EMBARGOS Y DESEMBARGOS</t>
  </si>
  <si>
    <t>1.2.54</t>
  </si>
  <si>
    <t>TOTAL PRESUPUESTO VIGENCIA 2.020</t>
  </si>
  <si>
    <t>TOTAL PRESUPUESTO 2020</t>
  </si>
  <si>
    <t>TOTAL PRESUPUESTO INGRESOS 2020</t>
  </si>
  <si>
    <t>ADICION PRESUPUESTAL</t>
  </si>
  <si>
    <t>PRESUPUESTO AJUSTADO</t>
  </si>
  <si>
    <t>RECAUDO ENERO 2020</t>
  </si>
  <si>
    <t>RECAUDO FEBRERO 2020</t>
  </si>
  <si>
    <t>RECAUDO MARZO 2020</t>
  </si>
  <si>
    <t>TRASLADOS PRESUPUETALES</t>
  </si>
  <si>
    <t>ADICION</t>
  </si>
  <si>
    <t>COMPROMETIDO ENERO</t>
  </si>
  <si>
    <t>COMPROMETIDO FEBRERO</t>
  </si>
  <si>
    <t xml:space="preserve">COMPROMETIDO MARZO </t>
  </si>
  <si>
    <t>CREDITOS</t>
  </si>
  <si>
    <t>CONTRACREDITOS</t>
  </si>
  <si>
    <t>EJECUCION PRESUPUESTO 2020</t>
  </si>
  <si>
    <t xml:space="preserve"> PRESUPUESTO 
AJUSTADO 2020</t>
  </si>
  <si>
    <t>TRANSFERENCIAS CORRIENTES DE PREVISIÒN Y SEGURIDAD SOCIAL</t>
  </si>
  <si>
    <t xml:space="preserve"> EJECUCION PRESUPUESTO 2020</t>
  </si>
  <si>
    <t>RECAUDO ABRIL 2020</t>
  </si>
  <si>
    <t>COMPROMETIDO ABRIL</t>
  </si>
  <si>
    <t>COMPROMETIDO MAYO</t>
  </si>
  <si>
    <t>RECAUDO MAYO 2020</t>
  </si>
  <si>
    <t>RECAUDO JUNIO 2020</t>
  </si>
  <si>
    <t>COMPROMETIDO JUNIO</t>
  </si>
  <si>
    <t>RECAUDO JULIO 2020</t>
  </si>
  <si>
    <t>RECAUDO AGOSTO 2020</t>
  </si>
  <si>
    <t>COMPROMETIDO JULIO</t>
  </si>
  <si>
    <t>COMPROMETIDO AGOSTO</t>
  </si>
  <si>
    <t>RECAUDO SEPTIEMBRE 2020</t>
  </si>
  <si>
    <t>COMPROMETIDO SEPTIEMBRE</t>
  </si>
  <si>
    <t>RECAUDO OCTUBRE 2020</t>
  </si>
  <si>
    <t>COMPROMETIDO OCTUBRE</t>
  </si>
  <si>
    <t>RECAUDO NOVIEMBRE 2020</t>
  </si>
  <si>
    <t>COMPROMETIDO NOVIEMBRE</t>
  </si>
  <si>
    <t>RECAUDO DICIEMBRE 2020</t>
  </si>
  <si>
    <t>RECAUDO                         ENERO - DICIEMBRE</t>
  </si>
  <si>
    <t>COMPROMETIDO DICIEMBRE</t>
  </si>
  <si>
    <t>COMPROMETIDO ENERO-DICIEMBRE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</si>
</sst>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\ #,##0_);\(&quot;$&quot;\ #,##0\)"/>
    <numFmt numFmtId="8" formatCode="&quot;$&quot;\ #,##0.00_);[Red]\(&quot;$&quot;\ #,##0.00\)"/>
    <numFmt numFmtId="43" formatCode="_(* #,##0.00_);_(* \(#,##0.00\);_(* &quot;-&quot;??_);_(@_)"/>
    <numFmt numFmtId="164" formatCode="_(* #,##0_);_(* \(#,##0\);_(* &quot;-&quot;??_);_(@_)"/>
    <numFmt numFmtId="165" formatCode="&quot;$&quot;\ #,##0.00"/>
    <numFmt numFmtId="166" formatCode="&quot;$&quot;#,##0.0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Arial Black"/>
      <family val="2"/>
    </font>
    <font>
      <sz val="10"/>
      <name val="Arial Black"/>
      <family val="2"/>
    </font>
    <font>
      <sz val="8"/>
      <name val="Arial"/>
      <family val="2"/>
    </font>
    <font>
      <sz val="8"/>
      <name val="Aharoni"/>
      <charset val="177"/>
    </font>
    <font>
      <b/>
      <sz val="12"/>
      <name val="Arial Rounded MT Bold"/>
      <family val="2"/>
    </font>
    <font>
      <b/>
      <sz val="10"/>
      <name val="Arial Black"/>
      <family val="2"/>
    </font>
    <font>
      <sz val="12"/>
      <color theme="1"/>
      <name val="Arial Black"/>
      <family val="2"/>
    </font>
    <font>
      <b/>
      <sz val="12"/>
      <color theme="1"/>
      <name val="Arial Black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b/>
      <sz val="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12"/>
      <color rgb="FFFFFFFF"/>
      <name val="Calibri"/>
      <family val="2"/>
    </font>
    <font>
      <b/>
      <sz val="9"/>
      <color rgb="FFFFFFFF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8"/>
      <name val="Tahoma"/>
      <family val="2"/>
    </font>
    <font>
      <sz val="8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262626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4" fontId="4" fillId="2" borderId="1" xfId="0" applyNumberFormat="1" applyFont="1" applyFill="1" applyBorder="1"/>
    <xf numFmtId="0" fontId="5" fillId="2" borderId="1" xfId="0" applyFont="1" applyFill="1" applyBorder="1"/>
    <xf numFmtId="4" fontId="5" fillId="2" borderId="1" xfId="0" applyNumberFormat="1" applyFont="1" applyFill="1" applyBorder="1"/>
    <xf numFmtId="0" fontId="6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4" fontId="7" fillId="3" borderId="1" xfId="0" applyNumberFormat="1" applyFont="1" applyFill="1" applyBorder="1"/>
    <xf numFmtId="0" fontId="0" fillId="0" borderId="1" xfId="0" applyBorder="1"/>
    <xf numFmtId="4" fontId="8" fillId="2" borderId="1" xfId="0" applyNumberFormat="1" applyFont="1" applyFill="1" applyBorder="1"/>
    <xf numFmtId="0" fontId="4" fillId="2" borderId="1" xfId="0" applyFont="1" applyFill="1" applyBorder="1"/>
    <xf numFmtId="0" fontId="0" fillId="0" borderId="1" xfId="0" applyFont="1" applyBorder="1"/>
    <xf numFmtId="164" fontId="10" fillId="0" borderId="1" xfId="0" applyNumberFormat="1" applyFont="1" applyBorder="1"/>
    <xf numFmtId="0" fontId="5" fillId="0" borderId="1" xfId="0" applyFont="1" applyFill="1" applyBorder="1"/>
    <xf numFmtId="0" fontId="13" fillId="0" borderId="1" xfId="0" applyFont="1" applyFill="1" applyBorder="1" applyAlignment="1">
      <alignment horizontal="left"/>
    </xf>
    <xf numFmtId="165" fontId="14" fillId="0" borderId="1" xfId="0" applyNumberFormat="1" applyFont="1" applyFill="1" applyBorder="1"/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165" fontId="15" fillId="0" borderId="1" xfId="0" applyNumberFormat="1" applyFont="1" applyFill="1" applyBorder="1"/>
    <xf numFmtId="0" fontId="16" fillId="0" borderId="1" xfId="0" applyFont="1" applyFill="1" applyBorder="1" applyAlignment="1">
      <alignment horizontal="left"/>
    </xf>
    <xf numFmtId="165" fontId="17" fillId="0" borderId="1" xfId="0" applyNumberFormat="1" applyFont="1" applyFill="1" applyBorder="1"/>
    <xf numFmtId="165" fontId="19" fillId="4" borderId="1" xfId="0" applyNumberFormat="1" applyFont="1" applyFill="1" applyBorder="1"/>
    <xf numFmtId="0" fontId="21" fillId="0" borderId="1" xfId="0" applyFont="1" applyBorder="1"/>
    <xf numFmtId="0" fontId="22" fillId="0" borderId="1" xfId="0" applyFont="1" applyBorder="1"/>
    <xf numFmtId="0" fontId="20" fillId="0" borderId="1" xfId="0" applyFont="1" applyBorder="1"/>
    <xf numFmtId="0" fontId="23" fillId="0" borderId="1" xfId="0" applyFont="1" applyBorder="1"/>
    <xf numFmtId="164" fontId="23" fillId="0" borderId="1" xfId="1" applyNumberFormat="1" applyFont="1" applyBorder="1"/>
    <xf numFmtId="0" fontId="21" fillId="0" borderId="0" xfId="0" applyFont="1"/>
    <xf numFmtId="164" fontId="23" fillId="0" borderId="1" xfId="0" applyNumberFormat="1" applyFont="1" applyBorder="1"/>
    <xf numFmtId="0" fontId="24" fillId="0" borderId="1" xfId="0" applyFont="1" applyBorder="1"/>
    <xf numFmtId="164" fontId="25" fillId="0" borderId="1" xfId="0" applyNumberFormat="1" applyFont="1" applyBorder="1"/>
    <xf numFmtId="0" fontId="26" fillId="0" borderId="1" xfId="0" applyFont="1" applyFill="1" applyBorder="1" applyAlignment="1">
      <alignment horizontal="left"/>
    </xf>
    <xf numFmtId="165" fontId="15" fillId="0" borderId="6" xfId="0" applyNumberFormat="1" applyFont="1" applyFill="1" applyBorder="1"/>
    <xf numFmtId="166" fontId="0" fillId="0" borderId="0" xfId="0" applyNumberFormat="1"/>
    <xf numFmtId="0" fontId="21" fillId="0" borderId="4" xfId="0" applyFont="1" applyBorder="1"/>
    <xf numFmtId="164" fontId="23" fillId="0" borderId="4" xfId="1" applyNumberFormat="1" applyFont="1" applyBorder="1"/>
    <xf numFmtId="164" fontId="21" fillId="0" borderId="4" xfId="0" applyNumberFormat="1" applyFont="1" applyBorder="1"/>
    <xf numFmtId="164" fontId="21" fillId="0" borderId="4" xfId="0" applyNumberFormat="1" applyFont="1" applyFill="1" applyBorder="1"/>
    <xf numFmtId="164" fontId="23" fillId="0" borderId="4" xfId="0" applyNumberFormat="1" applyFont="1" applyBorder="1"/>
    <xf numFmtId="164" fontId="25" fillId="0" borderId="4" xfId="0" applyNumberFormat="1" applyFont="1" applyBorder="1"/>
    <xf numFmtId="164" fontId="10" fillId="0" borderId="4" xfId="0" applyNumberFormat="1" applyFont="1" applyBorder="1"/>
    <xf numFmtId="5" fontId="31" fillId="0" borderId="7" xfId="0" applyNumberFormat="1" applyFont="1" applyFill="1" applyBorder="1" applyAlignment="1" applyProtection="1">
      <alignment horizontal="right" vertical="top" wrapText="1"/>
    </xf>
    <xf numFmtId="164" fontId="0" fillId="0" borderId="0" xfId="0" applyNumberFormat="1"/>
    <xf numFmtId="0" fontId="0" fillId="0" borderId="0" xfId="0" applyBorder="1"/>
    <xf numFmtId="5" fontId="31" fillId="0" borderId="0" xfId="0" applyNumberFormat="1" applyFont="1" applyFill="1" applyBorder="1" applyAlignment="1" applyProtection="1">
      <alignment horizontal="right" vertical="top" wrapText="1"/>
    </xf>
    <xf numFmtId="164" fontId="25" fillId="0" borderId="8" xfId="0" applyNumberFormat="1" applyFont="1" applyBorder="1"/>
    <xf numFmtId="166" fontId="0" fillId="0" borderId="1" xfId="0" applyNumberFormat="1" applyBorder="1"/>
    <xf numFmtId="0" fontId="29" fillId="6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8" fontId="0" fillId="0" borderId="1" xfId="0" applyNumberFormat="1" applyBorder="1"/>
    <xf numFmtId="0" fontId="2" fillId="0" borderId="0" xfId="0" applyFont="1" applyAlignment="1">
      <alignment horizontal="center"/>
    </xf>
    <xf numFmtId="5" fontId="31" fillId="0" borderId="9" xfId="0" applyNumberFormat="1" applyFont="1" applyFill="1" applyBorder="1" applyAlignment="1" applyProtection="1">
      <alignment horizontal="right" vertical="top" wrapText="1"/>
    </xf>
    <xf numFmtId="0" fontId="0" fillId="0" borderId="4" xfId="0" applyBorder="1"/>
    <xf numFmtId="5" fontId="31" fillId="0" borderId="1" xfId="0" applyNumberFormat="1" applyFont="1" applyFill="1" applyBorder="1" applyAlignment="1" applyProtection="1">
      <alignment horizontal="right" vertical="top" wrapText="1"/>
    </xf>
    <xf numFmtId="165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5" fontId="32" fillId="0" borderId="7" xfId="0" applyNumberFormat="1" applyFont="1" applyFill="1" applyBorder="1" applyAlignment="1" applyProtection="1">
      <alignment horizontal="right" vertical="top" wrapText="1"/>
    </xf>
    <xf numFmtId="164" fontId="0" fillId="0" borderId="1" xfId="0" applyNumberFormat="1" applyBorder="1"/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/>
    <xf numFmtId="43" fontId="0" fillId="0" borderId="0" xfId="0" applyNumberFormat="1"/>
    <xf numFmtId="0" fontId="10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8" fillId="6" borderId="4" xfId="0" applyFont="1" applyFill="1" applyBorder="1" applyAlignment="1">
      <alignment horizontal="center" vertical="center" wrapText="1"/>
    </xf>
    <xf numFmtId="0" fontId="28" fillId="6" borderId="5" xfId="0" applyFont="1" applyFill="1" applyBorder="1" applyAlignment="1">
      <alignment horizontal="center" vertical="center" wrapText="1"/>
    </xf>
    <xf numFmtId="0" fontId="28" fillId="6" borderId="2" xfId="0" applyFont="1" applyFill="1" applyBorder="1" applyAlignment="1">
      <alignment horizontal="center" vertical="center" wrapText="1"/>
    </xf>
    <xf numFmtId="0" fontId="30" fillId="6" borderId="3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20" fillId="6" borderId="6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28" fillId="6" borderId="3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30A0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F18" sqref="F18"/>
    </sheetView>
  </sheetViews>
  <sheetFormatPr baseColWidth="10" defaultRowHeight="15"/>
  <cols>
    <col min="1" max="1" width="15.42578125" bestFit="1" customWidth="1"/>
    <col min="2" max="2" width="54.28515625" bestFit="1" customWidth="1"/>
    <col min="3" max="3" width="20.42578125" bestFit="1" customWidth="1"/>
  </cols>
  <sheetData>
    <row r="1" spans="1:3" ht="15.75">
      <c r="A1" s="74" t="s">
        <v>0</v>
      </c>
      <c r="B1" s="74"/>
      <c r="C1" s="74"/>
    </row>
    <row r="2" spans="1:3" ht="15.75">
      <c r="A2" s="74" t="s">
        <v>21</v>
      </c>
      <c r="B2" s="74"/>
      <c r="C2" s="74"/>
    </row>
    <row r="3" spans="1:3" ht="15.75">
      <c r="A3" s="1" t="s">
        <v>1</v>
      </c>
      <c r="B3" s="1" t="s">
        <v>2</v>
      </c>
      <c r="C3" s="1">
        <v>2020</v>
      </c>
    </row>
    <row r="4" spans="1:3" ht="15.75">
      <c r="A4" s="2">
        <v>1</v>
      </c>
      <c r="B4" s="3" t="s">
        <v>3</v>
      </c>
      <c r="C4" s="4">
        <f>C5+C6</f>
        <v>8500500000</v>
      </c>
    </row>
    <row r="5" spans="1:3">
      <c r="A5" s="2">
        <v>1.1000000000000001</v>
      </c>
      <c r="B5" s="5" t="s">
        <v>4</v>
      </c>
      <c r="C5" s="6">
        <v>1500000000</v>
      </c>
    </row>
    <row r="6" spans="1:3">
      <c r="A6" s="2">
        <v>1.2</v>
      </c>
      <c r="B6" s="5" t="s">
        <v>5</v>
      </c>
      <c r="C6" s="6">
        <v>7000500000</v>
      </c>
    </row>
    <row r="7" spans="1:3" ht="15.75">
      <c r="A7" s="2">
        <v>2</v>
      </c>
      <c r="B7" s="3" t="s">
        <v>6</v>
      </c>
      <c r="C7" s="4">
        <f>C9+C10+C11+C12</f>
        <v>3223000000</v>
      </c>
    </row>
    <row r="8" spans="1:3">
      <c r="A8" s="2">
        <v>2.1</v>
      </c>
      <c r="B8" s="7" t="s">
        <v>7</v>
      </c>
    </row>
    <row r="9" spans="1:3">
      <c r="A9" s="2">
        <v>2.2000000000000002</v>
      </c>
      <c r="B9" s="8" t="s">
        <v>8</v>
      </c>
      <c r="C9" s="6">
        <v>10000000</v>
      </c>
    </row>
    <row r="10" spans="1:3">
      <c r="A10" s="2">
        <v>2.2999999999999998</v>
      </c>
      <c r="B10" s="8" t="s">
        <v>9</v>
      </c>
      <c r="C10" s="6">
        <v>3200000000</v>
      </c>
    </row>
    <row r="11" spans="1:3">
      <c r="A11" s="2">
        <v>2.4</v>
      </c>
      <c r="B11" s="8" t="s">
        <v>10</v>
      </c>
      <c r="C11" s="6">
        <v>12000000</v>
      </c>
    </row>
    <row r="12" spans="1:3">
      <c r="A12" s="2">
        <v>2.5</v>
      </c>
      <c r="B12" s="8" t="s">
        <v>11</v>
      </c>
      <c r="C12" s="6">
        <v>1000000</v>
      </c>
    </row>
    <row r="13" spans="1:3" ht="15.75">
      <c r="A13" s="73" t="s">
        <v>231</v>
      </c>
      <c r="B13" s="73"/>
      <c r="C13" s="9">
        <f>C4+C7</f>
        <v>11723500000</v>
      </c>
    </row>
    <row r="17" spans="1:3" ht="15.75">
      <c r="A17" s="74" t="s">
        <v>0</v>
      </c>
      <c r="B17" s="74"/>
      <c r="C17" s="74"/>
    </row>
    <row r="18" spans="1:3" ht="15.75">
      <c r="A18" s="74" t="s">
        <v>21</v>
      </c>
      <c r="B18" s="74"/>
      <c r="C18" s="74"/>
    </row>
    <row r="19" spans="1:3" ht="15.75">
      <c r="A19" s="1" t="s">
        <v>1</v>
      </c>
      <c r="B19" s="1" t="s">
        <v>2</v>
      </c>
      <c r="C19" s="1">
        <v>2020</v>
      </c>
    </row>
    <row r="20" spans="1:3" ht="15.75">
      <c r="A20" s="10">
        <v>30501</v>
      </c>
      <c r="B20" s="3" t="s">
        <v>12</v>
      </c>
      <c r="C20" s="11">
        <v>9323500000</v>
      </c>
    </row>
    <row r="21" spans="1:3" ht="15.75">
      <c r="A21" s="10">
        <v>30506</v>
      </c>
      <c r="B21" s="12" t="s">
        <v>13</v>
      </c>
      <c r="C21" s="11">
        <v>0</v>
      </c>
    </row>
    <row r="22" spans="1:3" ht="15.75">
      <c r="A22" s="10">
        <v>30507</v>
      </c>
      <c r="B22" s="3" t="s">
        <v>14</v>
      </c>
      <c r="C22" s="4">
        <f>C24+C25+C26+C27+C28</f>
        <v>2400000000</v>
      </c>
    </row>
    <row r="23" spans="1:3" ht="15.75">
      <c r="A23" s="10"/>
      <c r="B23" s="3" t="s">
        <v>15</v>
      </c>
      <c r="C23" s="10"/>
    </row>
    <row r="24" spans="1:3">
      <c r="A24" s="10">
        <v>30507180401</v>
      </c>
      <c r="B24" s="10" t="s">
        <v>16</v>
      </c>
      <c r="C24" s="6">
        <v>400000000</v>
      </c>
    </row>
    <row r="25" spans="1:3">
      <c r="A25" s="10">
        <v>30507180402</v>
      </c>
      <c r="B25" s="13" t="s">
        <v>17</v>
      </c>
      <c r="C25" s="6">
        <v>800000000</v>
      </c>
    </row>
    <row r="26" spans="1:3">
      <c r="A26" s="10">
        <v>30507180403</v>
      </c>
      <c r="B26" s="13" t="s">
        <v>18</v>
      </c>
      <c r="C26" s="6">
        <v>300000000</v>
      </c>
    </row>
    <row r="27" spans="1:3">
      <c r="A27" s="10">
        <v>30507180404</v>
      </c>
      <c r="B27" s="13" t="s">
        <v>19</v>
      </c>
      <c r="C27" s="6">
        <v>400000000</v>
      </c>
    </row>
    <row r="28" spans="1:3">
      <c r="A28" s="10">
        <v>30507180405</v>
      </c>
      <c r="B28" s="13" t="s">
        <v>20</v>
      </c>
      <c r="C28" s="6">
        <v>500000000</v>
      </c>
    </row>
    <row r="29" spans="1:3" ht="15.75">
      <c r="A29" s="73" t="s">
        <v>231</v>
      </c>
      <c r="B29" s="73"/>
      <c r="C29" s="9">
        <f>C20+C22</f>
        <v>11723500000</v>
      </c>
    </row>
  </sheetData>
  <mergeCells count="6">
    <mergeCell ref="A29:B29"/>
    <mergeCell ref="A1:C1"/>
    <mergeCell ref="A2:C2"/>
    <mergeCell ref="A13:B13"/>
    <mergeCell ref="A17:C17"/>
    <mergeCell ref="A18:C18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tabSelected="1" workbookViewId="0">
      <pane xSplit="2" ySplit="4" topLeftCell="M53" activePane="bottomRight" state="frozen"/>
      <selection pane="topRight" activeCell="C1" sqref="C1"/>
      <selection pane="bottomLeft" activeCell="A5" sqref="A5"/>
      <selection pane="bottomRight" activeCell="V61" sqref="V61"/>
    </sheetView>
  </sheetViews>
  <sheetFormatPr baseColWidth="10" defaultRowHeight="15"/>
  <cols>
    <col min="1" max="1" width="13" customWidth="1"/>
    <col min="2" max="2" width="50.5703125" customWidth="1"/>
    <col min="3" max="3" width="23.85546875" customWidth="1"/>
    <col min="4" max="4" width="21.7109375" customWidth="1"/>
    <col min="5" max="5" width="24.28515625" customWidth="1"/>
    <col min="6" max="6" width="8.85546875" customWidth="1"/>
    <col min="7" max="7" width="24.7109375" customWidth="1"/>
    <col min="8" max="8" width="18.7109375" bestFit="1" customWidth="1"/>
    <col min="9" max="9" width="19.28515625" bestFit="1" customWidth="1"/>
    <col min="10" max="12" width="18.7109375" bestFit="1" customWidth="1"/>
    <col min="13" max="18" width="18.28515625" customWidth="1"/>
    <col min="19" max="19" width="21.42578125" customWidth="1"/>
    <col min="20" max="20" width="21" customWidth="1"/>
  </cols>
  <sheetData>
    <row r="1" spans="1:20" ht="19.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60"/>
      <c r="O1" s="60"/>
      <c r="P1" s="62"/>
      <c r="Q1" s="66"/>
      <c r="R1" s="68"/>
      <c r="S1" s="72"/>
    </row>
    <row r="2" spans="1:20" ht="19.5">
      <c r="A2" s="75" t="s">
        <v>246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60"/>
      <c r="O2" s="60"/>
      <c r="P2" s="62"/>
      <c r="Q2" s="66"/>
      <c r="R2" s="68"/>
      <c r="S2" s="72"/>
    </row>
    <row r="3" spans="1:20" ht="24.75" customHeight="1">
      <c r="A3" s="80" t="s">
        <v>22</v>
      </c>
      <c r="B3" s="80" t="s">
        <v>23</v>
      </c>
      <c r="C3" s="80" t="s">
        <v>226</v>
      </c>
      <c r="D3" s="76" t="s">
        <v>239</v>
      </c>
      <c r="E3" s="77"/>
      <c r="F3" s="78" t="s">
        <v>240</v>
      </c>
      <c r="G3" s="78" t="s">
        <v>247</v>
      </c>
      <c r="H3" s="78" t="s">
        <v>241</v>
      </c>
      <c r="I3" s="78" t="s">
        <v>242</v>
      </c>
      <c r="J3" s="78" t="s">
        <v>243</v>
      </c>
      <c r="K3" s="78" t="s">
        <v>251</v>
      </c>
      <c r="L3" s="78" t="s">
        <v>252</v>
      </c>
      <c r="M3" s="78" t="s">
        <v>255</v>
      </c>
      <c r="N3" s="78" t="s">
        <v>258</v>
      </c>
      <c r="O3" s="78" t="s">
        <v>259</v>
      </c>
      <c r="P3" s="78" t="s">
        <v>261</v>
      </c>
      <c r="Q3" s="78" t="s">
        <v>263</v>
      </c>
      <c r="R3" s="78" t="s">
        <v>265</v>
      </c>
      <c r="S3" s="78" t="s">
        <v>268</v>
      </c>
      <c r="T3" s="78" t="s">
        <v>269</v>
      </c>
    </row>
    <row r="4" spans="1:20">
      <c r="A4" s="81"/>
      <c r="B4" s="81"/>
      <c r="C4" s="81"/>
      <c r="D4" s="49" t="s">
        <v>244</v>
      </c>
      <c r="E4" s="49" t="s">
        <v>245</v>
      </c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83"/>
    </row>
    <row r="5" spans="1:20" ht="18">
      <c r="A5" s="24">
        <v>3050</v>
      </c>
      <c r="B5" s="25" t="s">
        <v>12</v>
      </c>
      <c r="C5" s="36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>
      <c r="A6" s="26">
        <v>30501</v>
      </c>
      <c r="B6" s="33" t="s">
        <v>24</v>
      </c>
      <c r="C6" s="36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>
      <c r="A7" s="27">
        <v>30501180</v>
      </c>
      <c r="B7" s="27" t="s">
        <v>25</v>
      </c>
      <c r="C7" s="37">
        <f>SUM(C8:C18)</f>
        <v>4710000000</v>
      </c>
      <c r="D7" s="37">
        <f t="shared" ref="D7:S7" si="0">SUM(D8:D18)</f>
        <v>161500000</v>
      </c>
      <c r="E7" s="37">
        <f t="shared" si="0"/>
        <v>58000000</v>
      </c>
      <c r="F7" s="37">
        <f t="shared" si="0"/>
        <v>0</v>
      </c>
      <c r="G7" s="37">
        <f t="shared" si="0"/>
        <v>4813500000</v>
      </c>
      <c r="H7" s="37">
        <f t="shared" si="0"/>
        <v>319732213</v>
      </c>
      <c r="I7" s="37">
        <f t="shared" si="0"/>
        <v>360763780</v>
      </c>
      <c r="J7" s="37">
        <f t="shared" si="0"/>
        <v>355206672</v>
      </c>
      <c r="K7" s="37">
        <f t="shared" si="0"/>
        <v>315784828</v>
      </c>
      <c r="L7" s="37">
        <f t="shared" si="0"/>
        <v>320426290</v>
      </c>
      <c r="M7" s="37">
        <f t="shared" si="0"/>
        <v>327484994</v>
      </c>
      <c r="N7" s="37">
        <f t="shared" si="0"/>
        <v>469754403</v>
      </c>
      <c r="O7" s="37">
        <f t="shared" si="0"/>
        <v>334464834</v>
      </c>
      <c r="P7" s="37">
        <f t="shared" si="0"/>
        <v>351326588</v>
      </c>
      <c r="Q7" s="37">
        <f t="shared" si="0"/>
        <v>384080053</v>
      </c>
      <c r="R7" s="37">
        <f t="shared" si="0"/>
        <v>491195262</v>
      </c>
      <c r="S7" s="37">
        <f t="shared" si="0"/>
        <v>713292897</v>
      </c>
      <c r="T7" s="28">
        <f>SUM(T8:T18)</f>
        <v>4743512814</v>
      </c>
    </row>
    <row r="8" spans="1:20">
      <c r="A8" s="26">
        <v>30501180401</v>
      </c>
      <c r="B8" s="33" t="s">
        <v>26</v>
      </c>
      <c r="C8" s="38">
        <v>3500000000</v>
      </c>
      <c r="D8" s="43">
        <v>160000000</v>
      </c>
      <c r="E8" s="10"/>
      <c r="F8" s="10"/>
      <c r="G8" s="64">
        <f>C8+D8-E8</f>
        <v>3660000000</v>
      </c>
      <c r="H8" s="43">
        <v>279805386</v>
      </c>
      <c r="I8" s="43">
        <v>306179470</v>
      </c>
      <c r="J8" s="43">
        <v>291729863</v>
      </c>
      <c r="K8" s="54">
        <v>284350008</v>
      </c>
      <c r="L8" s="56">
        <v>286692411</v>
      </c>
      <c r="M8" s="56">
        <v>286429293</v>
      </c>
      <c r="N8" s="56">
        <v>289769634</v>
      </c>
      <c r="O8" s="63">
        <v>286376436</v>
      </c>
      <c r="P8" s="56">
        <f>303925911+1951166</f>
        <v>305877077</v>
      </c>
      <c r="Q8" s="56">
        <v>312579933</v>
      </c>
      <c r="R8" s="56">
        <v>414565995</v>
      </c>
      <c r="S8" s="56">
        <v>310628498</v>
      </c>
      <c r="T8" s="56">
        <f>H8+I8+J8+K8+L8+M8+N8+O8+P8+Q8+R8+S8</f>
        <v>3654984004</v>
      </c>
    </row>
    <row r="9" spans="1:20">
      <c r="A9" s="26">
        <v>30501180402</v>
      </c>
      <c r="B9" s="33" t="s">
        <v>27</v>
      </c>
      <c r="C9" s="38">
        <v>340000000</v>
      </c>
      <c r="D9" s="43"/>
      <c r="E9" s="10"/>
      <c r="F9" s="10"/>
      <c r="G9" s="64">
        <f t="shared" ref="G9:G30" si="1">C9+D9-E9</f>
        <v>340000000</v>
      </c>
      <c r="H9" s="43">
        <v>0</v>
      </c>
      <c r="I9" s="43">
        <v>0</v>
      </c>
      <c r="J9" s="43">
        <v>0</v>
      </c>
      <c r="K9" s="54"/>
      <c r="L9" s="56"/>
      <c r="M9" s="10"/>
      <c r="N9" s="56"/>
      <c r="O9" s="63">
        <v>0</v>
      </c>
      <c r="P9" s="56"/>
      <c r="Q9" s="56"/>
      <c r="R9" s="56"/>
      <c r="S9" s="56">
        <v>327665242</v>
      </c>
      <c r="T9" s="56">
        <f t="shared" ref="T9:T30" si="2">H9+I9+J9+K9+L9+M9+N9+O9+P9+Q9+R9+S9</f>
        <v>327665242</v>
      </c>
    </row>
    <row r="10" spans="1:20">
      <c r="A10" s="26">
        <v>30501180403</v>
      </c>
      <c r="B10" s="33" t="s">
        <v>28</v>
      </c>
      <c r="C10" s="38">
        <v>155000000</v>
      </c>
      <c r="D10" s="43"/>
      <c r="E10" s="43"/>
      <c r="F10" s="10"/>
      <c r="G10" s="64">
        <f t="shared" si="1"/>
        <v>155000000</v>
      </c>
      <c r="H10" s="43">
        <v>0</v>
      </c>
      <c r="I10" s="43">
        <v>17268062</v>
      </c>
      <c r="J10" s="43">
        <v>22201010</v>
      </c>
      <c r="K10" s="54"/>
      <c r="L10" s="56"/>
      <c r="M10" s="10"/>
      <c r="N10" s="56">
        <v>17998866</v>
      </c>
      <c r="O10" s="63">
        <f>1325464+1330340</f>
        <v>2655804</v>
      </c>
      <c r="P10" s="56">
        <v>18074572</v>
      </c>
      <c r="Q10" s="56">
        <v>34582138</v>
      </c>
      <c r="R10" s="56">
        <v>17741504</v>
      </c>
      <c r="S10" s="56">
        <v>17823737</v>
      </c>
      <c r="T10" s="56">
        <f t="shared" si="2"/>
        <v>148345693</v>
      </c>
    </row>
    <row r="11" spans="1:20">
      <c r="A11" s="26">
        <v>30501180404</v>
      </c>
      <c r="B11" s="33" t="s">
        <v>29</v>
      </c>
      <c r="C11" s="38">
        <v>10000000</v>
      </c>
      <c r="D11" s="43"/>
      <c r="E11" s="43"/>
      <c r="F11" s="10"/>
      <c r="G11" s="64">
        <f t="shared" si="1"/>
        <v>10000000</v>
      </c>
      <c r="H11" s="43">
        <v>0</v>
      </c>
      <c r="I11" s="43">
        <v>7265449</v>
      </c>
      <c r="J11" s="43">
        <v>1704154</v>
      </c>
      <c r="K11" s="54"/>
      <c r="L11" s="56"/>
      <c r="M11" s="10"/>
      <c r="N11" s="56"/>
      <c r="O11" s="63">
        <v>0</v>
      </c>
      <c r="P11" s="10"/>
      <c r="Q11" s="10"/>
      <c r="R11" s="10"/>
      <c r="S11" s="10"/>
      <c r="T11" s="56">
        <f t="shared" si="2"/>
        <v>8969603</v>
      </c>
    </row>
    <row r="12" spans="1:20">
      <c r="A12" s="26">
        <v>30501180405</v>
      </c>
      <c r="B12" s="33" t="s">
        <v>30</v>
      </c>
      <c r="C12" s="38">
        <v>3000000</v>
      </c>
      <c r="D12" s="43"/>
      <c r="E12" s="43"/>
      <c r="F12" s="10"/>
      <c r="G12" s="64">
        <f t="shared" si="1"/>
        <v>3000000</v>
      </c>
      <c r="H12" s="43">
        <v>102854</v>
      </c>
      <c r="I12" s="43">
        <v>102854</v>
      </c>
      <c r="J12" s="43">
        <v>102854</v>
      </c>
      <c r="K12" s="54"/>
      <c r="L12" s="56">
        <v>102854</v>
      </c>
      <c r="M12" s="56">
        <v>102854</v>
      </c>
      <c r="N12" s="56">
        <v>102854</v>
      </c>
      <c r="O12" s="63">
        <v>102854</v>
      </c>
      <c r="P12" s="56">
        <v>44570</v>
      </c>
      <c r="Q12" s="56">
        <v>95977</v>
      </c>
      <c r="R12" s="56">
        <v>102854</v>
      </c>
      <c r="S12" s="56"/>
      <c r="T12" s="56">
        <f t="shared" si="2"/>
        <v>963379</v>
      </c>
    </row>
    <row r="13" spans="1:20">
      <c r="A13" s="26">
        <v>30501180406</v>
      </c>
      <c r="B13" s="33" t="s">
        <v>31</v>
      </c>
      <c r="C13" s="38">
        <v>30000000</v>
      </c>
      <c r="D13" s="43"/>
      <c r="E13" s="43"/>
      <c r="F13" s="10"/>
      <c r="G13" s="64">
        <f t="shared" si="1"/>
        <v>30000000</v>
      </c>
      <c r="H13" s="43">
        <v>0</v>
      </c>
      <c r="I13" s="43">
        <v>0</v>
      </c>
      <c r="J13" s="43">
        <v>0</v>
      </c>
      <c r="K13" s="54"/>
      <c r="L13" s="56"/>
      <c r="M13" s="10"/>
      <c r="N13" s="56"/>
      <c r="O13" s="63">
        <v>0</v>
      </c>
      <c r="P13" s="10"/>
      <c r="Q13" s="10"/>
      <c r="R13" s="10"/>
      <c r="S13" s="10"/>
      <c r="T13" s="56">
        <f t="shared" si="2"/>
        <v>0</v>
      </c>
    </row>
    <row r="14" spans="1:20">
      <c r="A14" s="26">
        <v>30501180407</v>
      </c>
      <c r="B14" s="33" t="s">
        <v>32</v>
      </c>
      <c r="C14" s="38">
        <v>1000000</v>
      </c>
      <c r="D14" s="43"/>
      <c r="E14" s="43"/>
      <c r="F14" s="10"/>
      <c r="G14" s="64">
        <f t="shared" si="1"/>
        <v>1000000</v>
      </c>
      <c r="H14" s="43">
        <v>0</v>
      </c>
      <c r="I14" s="43">
        <v>0</v>
      </c>
      <c r="J14" s="43">
        <v>0</v>
      </c>
      <c r="K14" s="54"/>
      <c r="L14" s="56"/>
      <c r="M14" s="10"/>
      <c r="N14" s="56"/>
      <c r="O14" s="63">
        <v>0</v>
      </c>
      <c r="P14" s="56"/>
      <c r="Q14" s="56"/>
      <c r="R14" s="56"/>
      <c r="S14" s="56"/>
      <c r="T14" s="56">
        <f t="shared" si="2"/>
        <v>0</v>
      </c>
    </row>
    <row r="15" spans="1:20">
      <c r="A15" s="26">
        <v>30501180408</v>
      </c>
      <c r="B15" s="33" t="s">
        <v>33</v>
      </c>
      <c r="C15" s="38">
        <v>400000000</v>
      </c>
      <c r="D15" s="43"/>
      <c r="E15" s="43">
        <v>58000000</v>
      </c>
      <c r="F15" s="10"/>
      <c r="G15" s="64">
        <f t="shared" si="1"/>
        <v>342000000</v>
      </c>
      <c r="H15" s="43">
        <v>30537729</v>
      </c>
      <c r="I15" s="43">
        <v>24266399</v>
      </c>
      <c r="J15" s="43">
        <v>26758975</v>
      </c>
      <c r="K15" s="54">
        <v>24608998</v>
      </c>
      <c r="L15" s="56">
        <v>30278382</v>
      </c>
      <c r="M15" s="56">
        <v>30806264</v>
      </c>
      <c r="N15" s="56">
        <v>22769526</v>
      </c>
      <c r="O15" s="63">
        <v>31199002</v>
      </c>
      <c r="P15" s="56">
        <v>20318186</v>
      </c>
      <c r="Q15" s="56">
        <v>23964559</v>
      </c>
      <c r="R15" s="56">
        <v>42730984</v>
      </c>
      <c r="S15" s="56">
        <v>33106472</v>
      </c>
      <c r="T15" s="56">
        <f t="shared" si="2"/>
        <v>341345476</v>
      </c>
    </row>
    <row r="16" spans="1:20">
      <c r="A16" s="26">
        <v>30501180409</v>
      </c>
      <c r="B16" s="33" t="s">
        <v>34</v>
      </c>
      <c r="C16" s="38">
        <v>150000000</v>
      </c>
      <c r="D16" s="43"/>
      <c r="E16" s="43"/>
      <c r="F16" s="10"/>
      <c r="G16" s="64">
        <f t="shared" si="1"/>
        <v>150000000</v>
      </c>
      <c r="H16" s="43">
        <v>0</v>
      </c>
      <c r="I16" s="43">
        <v>0</v>
      </c>
      <c r="J16" s="43">
        <v>0</v>
      </c>
      <c r="K16" s="54"/>
      <c r="L16" s="56"/>
      <c r="M16" s="10"/>
      <c r="N16" s="56">
        <v>135050174</v>
      </c>
      <c r="O16" s="63">
        <v>0</v>
      </c>
      <c r="P16" s="56"/>
      <c r="Q16" s="56"/>
      <c r="R16" s="56">
        <v>6914456</v>
      </c>
      <c r="S16" s="56">
        <v>4091645</v>
      </c>
      <c r="T16" s="56">
        <f t="shared" si="2"/>
        <v>146056275</v>
      </c>
    </row>
    <row r="17" spans="1:20">
      <c r="A17" s="26">
        <v>30501180410</v>
      </c>
      <c r="B17" s="33" t="s">
        <v>35</v>
      </c>
      <c r="C17" s="38">
        <v>96000000</v>
      </c>
      <c r="D17" s="43">
        <v>1500000</v>
      </c>
      <c r="E17" s="43"/>
      <c r="F17" s="10"/>
      <c r="G17" s="64">
        <f t="shared" si="1"/>
        <v>97500000</v>
      </c>
      <c r="H17" s="43">
        <v>9286244</v>
      </c>
      <c r="I17" s="43">
        <v>3912736</v>
      </c>
      <c r="J17" s="43">
        <v>10078641</v>
      </c>
      <c r="K17" s="54">
        <v>6825822</v>
      </c>
      <c r="L17" s="56">
        <v>3352643</v>
      </c>
      <c r="M17" s="56">
        <v>10146583</v>
      </c>
      <c r="N17" s="56">
        <v>1824785</v>
      </c>
      <c r="O17" s="63">
        <v>13799886</v>
      </c>
      <c r="P17" s="56">
        <v>4884530</v>
      </c>
      <c r="Q17" s="56">
        <v>8135243</v>
      </c>
      <c r="R17" s="56">
        <v>6939223</v>
      </c>
      <c r="S17" s="56">
        <v>17840349</v>
      </c>
      <c r="T17" s="56">
        <f t="shared" si="2"/>
        <v>97026685</v>
      </c>
    </row>
    <row r="18" spans="1:20">
      <c r="A18" s="26">
        <v>30501180411</v>
      </c>
      <c r="B18" s="33" t="s">
        <v>36</v>
      </c>
      <c r="C18" s="38">
        <v>25000000</v>
      </c>
      <c r="D18" s="43"/>
      <c r="E18" s="10"/>
      <c r="F18" s="10"/>
      <c r="G18" s="64">
        <f t="shared" si="1"/>
        <v>25000000</v>
      </c>
      <c r="H18" s="43">
        <v>0</v>
      </c>
      <c r="I18" s="43">
        <v>1768810</v>
      </c>
      <c r="J18" s="43">
        <v>2631175</v>
      </c>
      <c r="K18" s="54"/>
      <c r="L18" s="56"/>
      <c r="M18" s="10"/>
      <c r="N18" s="56">
        <v>2238564</v>
      </c>
      <c r="O18" s="63">
        <f>164851+166001</f>
        <v>330852</v>
      </c>
      <c r="P18" s="56">
        <v>2127653</v>
      </c>
      <c r="Q18" s="56">
        <v>4722203</v>
      </c>
      <c r="R18" s="56">
        <v>2200246</v>
      </c>
      <c r="S18" s="56">
        <v>2136954</v>
      </c>
      <c r="T18" s="56">
        <f t="shared" si="2"/>
        <v>18156457</v>
      </c>
    </row>
    <row r="19" spans="1:20">
      <c r="A19" s="27">
        <v>30501181</v>
      </c>
      <c r="B19" s="27" t="s">
        <v>37</v>
      </c>
      <c r="C19" s="37">
        <f>SUM(C20:C23)</f>
        <v>304000000</v>
      </c>
      <c r="D19" s="37">
        <f t="shared" ref="D19:S19" si="3">SUM(D20:D23)</f>
        <v>0</v>
      </c>
      <c r="E19" s="37">
        <f t="shared" si="3"/>
        <v>52000000</v>
      </c>
      <c r="F19" s="37">
        <f t="shared" si="3"/>
        <v>0</v>
      </c>
      <c r="G19" s="37">
        <f t="shared" si="3"/>
        <v>252000000</v>
      </c>
      <c r="H19" s="37">
        <f t="shared" si="3"/>
        <v>2060909</v>
      </c>
      <c r="I19" s="37">
        <f t="shared" si="3"/>
        <v>11060909</v>
      </c>
      <c r="J19" s="37">
        <f t="shared" si="3"/>
        <v>24432162</v>
      </c>
      <c r="K19" s="37">
        <f t="shared" si="3"/>
        <v>0</v>
      </c>
      <c r="L19" s="37">
        <f t="shared" si="3"/>
        <v>10718280</v>
      </c>
      <c r="M19" s="37">
        <f t="shared" si="3"/>
        <v>26522423</v>
      </c>
      <c r="N19" s="37">
        <f t="shared" si="3"/>
        <v>0</v>
      </c>
      <c r="O19" s="37">
        <f t="shared" si="3"/>
        <v>26379421</v>
      </c>
      <c r="P19" s="37">
        <f t="shared" si="3"/>
        <v>9000000</v>
      </c>
      <c r="Q19" s="37">
        <f t="shared" si="3"/>
        <v>0</v>
      </c>
      <c r="R19" s="37">
        <f t="shared" si="3"/>
        <v>0</v>
      </c>
      <c r="S19" s="37">
        <f t="shared" si="3"/>
        <v>21948360</v>
      </c>
      <c r="T19" s="28">
        <f>SUM(T20:T23)</f>
        <v>132122464</v>
      </c>
    </row>
    <row r="20" spans="1:20">
      <c r="A20" s="26">
        <v>30501181412</v>
      </c>
      <c r="B20" s="33" t="s">
        <v>38</v>
      </c>
      <c r="C20" s="38">
        <v>200000000</v>
      </c>
      <c r="D20" s="10"/>
      <c r="E20" s="43"/>
      <c r="F20" s="10"/>
      <c r="G20" s="64">
        <f t="shared" si="1"/>
        <v>200000000</v>
      </c>
      <c r="H20" s="43">
        <v>0</v>
      </c>
      <c r="I20" s="43">
        <v>9000000</v>
      </c>
      <c r="J20" s="43">
        <v>24294768</v>
      </c>
      <c r="K20" s="54"/>
      <c r="L20" s="56">
        <v>10718280</v>
      </c>
      <c r="M20" s="56">
        <v>18000000</v>
      </c>
      <c r="N20" s="56"/>
      <c r="O20" s="56">
        <v>26379421</v>
      </c>
      <c r="P20" s="56">
        <v>9000000</v>
      </c>
      <c r="Q20" s="56"/>
      <c r="R20" s="56"/>
      <c r="S20" s="56">
        <v>21948360</v>
      </c>
      <c r="T20" s="56">
        <f t="shared" si="2"/>
        <v>119340829</v>
      </c>
    </row>
    <row r="21" spans="1:20">
      <c r="A21" s="26">
        <v>30501181413</v>
      </c>
      <c r="B21" s="33" t="s">
        <v>39</v>
      </c>
      <c r="C21" s="38">
        <v>93000000</v>
      </c>
      <c r="D21" s="10"/>
      <c r="E21" s="43">
        <v>52000000</v>
      </c>
      <c r="F21" s="10"/>
      <c r="G21" s="64">
        <f t="shared" si="1"/>
        <v>41000000</v>
      </c>
      <c r="H21" s="43">
        <v>2060909</v>
      </c>
      <c r="I21" s="43">
        <v>2060909</v>
      </c>
      <c r="J21" s="43">
        <v>137394</v>
      </c>
      <c r="K21" s="54"/>
      <c r="L21" s="56"/>
      <c r="M21" s="56">
        <v>8522423</v>
      </c>
      <c r="N21" s="56"/>
      <c r="O21" s="56"/>
      <c r="P21" s="56"/>
      <c r="Q21" s="56"/>
      <c r="R21" s="56"/>
      <c r="S21" s="56"/>
      <c r="T21" s="56">
        <f t="shared" si="2"/>
        <v>12781635</v>
      </c>
    </row>
    <row r="22" spans="1:20">
      <c r="A22" s="26">
        <v>30501181414</v>
      </c>
      <c r="B22" s="33" t="s">
        <v>40</v>
      </c>
      <c r="C22" s="38">
        <v>10000000</v>
      </c>
      <c r="D22" s="10"/>
      <c r="E22" s="43"/>
      <c r="F22" s="10"/>
      <c r="G22" s="64">
        <f t="shared" si="1"/>
        <v>10000000</v>
      </c>
      <c r="H22" s="43">
        <v>0</v>
      </c>
      <c r="I22" s="43">
        <v>0</v>
      </c>
      <c r="J22" s="43">
        <v>0</v>
      </c>
      <c r="K22" s="54"/>
      <c r="L22" s="56"/>
      <c r="M22" s="56"/>
      <c r="N22" s="56"/>
      <c r="O22" s="56"/>
      <c r="P22" s="56"/>
      <c r="Q22" s="56"/>
      <c r="R22" s="56"/>
      <c r="S22" s="56"/>
      <c r="T22" s="56">
        <f t="shared" si="2"/>
        <v>0</v>
      </c>
    </row>
    <row r="23" spans="1:20">
      <c r="A23" s="26">
        <v>30501181415</v>
      </c>
      <c r="B23" s="33" t="s">
        <v>41</v>
      </c>
      <c r="C23" s="38">
        <v>1000000</v>
      </c>
      <c r="D23" s="10"/>
      <c r="E23" s="43"/>
      <c r="F23" s="10"/>
      <c r="G23" s="64">
        <f t="shared" si="1"/>
        <v>1000000</v>
      </c>
      <c r="H23" s="43">
        <v>0</v>
      </c>
      <c r="I23" s="43">
        <v>0</v>
      </c>
      <c r="J23" s="43">
        <v>0</v>
      </c>
      <c r="K23" s="54"/>
      <c r="L23" s="56"/>
      <c r="M23" s="56"/>
      <c r="N23" s="56"/>
      <c r="O23" s="56"/>
      <c r="P23" s="56"/>
      <c r="Q23" s="56"/>
      <c r="R23" s="56"/>
      <c r="S23" s="56"/>
      <c r="T23" s="56">
        <f t="shared" si="2"/>
        <v>0</v>
      </c>
    </row>
    <row r="24" spans="1:20">
      <c r="A24" s="27">
        <v>30501182</v>
      </c>
      <c r="B24" s="27" t="s">
        <v>42</v>
      </c>
      <c r="C24" s="37">
        <f>SUM(C25:C30)</f>
        <v>1278000000</v>
      </c>
      <c r="D24" s="37">
        <f t="shared" ref="D24:S24" si="4">SUM(D25:D30)</f>
        <v>120000000</v>
      </c>
      <c r="E24" s="37">
        <f t="shared" si="4"/>
        <v>48000000</v>
      </c>
      <c r="F24" s="37">
        <f t="shared" si="4"/>
        <v>0</v>
      </c>
      <c r="G24" s="37">
        <f t="shared" si="4"/>
        <v>1350000000</v>
      </c>
      <c r="H24" s="37">
        <f t="shared" si="4"/>
        <v>114955132</v>
      </c>
      <c r="I24" s="37">
        <f t="shared" si="4"/>
        <v>106729338</v>
      </c>
      <c r="J24" s="37">
        <f t="shared" si="4"/>
        <v>122532286</v>
      </c>
      <c r="K24" s="37">
        <f t="shared" si="4"/>
        <v>110969396</v>
      </c>
      <c r="L24" s="37">
        <f t="shared" si="4"/>
        <v>107814775</v>
      </c>
      <c r="M24" s="37">
        <f t="shared" si="4"/>
        <v>104247575</v>
      </c>
      <c r="N24" s="37">
        <f t="shared" si="4"/>
        <v>108525470</v>
      </c>
      <c r="O24" s="37">
        <f t="shared" si="4"/>
        <v>104988950</v>
      </c>
      <c r="P24" s="37">
        <f t="shared" si="4"/>
        <v>109389934</v>
      </c>
      <c r="Q24" s="37">
        <f t="shared" si="4"/>
        <v>109549688</v>
      </c>
      <c r="R24" s="37">
        <f t="shared" si="4"/>
        <v>105745800</v>
      </c>
      <c r="S24" s="37">
        <f t="shared" si="4"/>
        <v>115318460</v>
      </c>
      <c r="T24" s="28">
        <f>SUM(T25:T30)</f>
        <v>1320766804</v>
      </c>
    </row>
    <row r="25" spans="1:20">
      <c r="A25" s="26">
        <v>30501182417</v>
      </c>
      <c r="B25" s="33" t="s">
        <v>43</v>
      </c>
      <c r="C25" s="38">
        <v>150000000</v>
      </c>
      <c r="D25" s="43">
        <v>20000000</v>
      </c>
      <c r="E25" s="43"/>
      <c r="F25" s="10"/>
      <c r="G25" s="64">
        <f t="shared" si="1"/>
        <v>170000000</v>
      </c>
      <c r="H25" s="43">
        <v>14226300</v>
      </c>
      <c r="I25" s="43">
        <v>12863500</v>
      </c>
      <c r="J25" s="43">
        <v>14587900</v>
      </c>
      <c r="K25" s="54">
        <v>13801200</v>
      </c>
      <c r="L25" s="56">
        <v>12757100</v>
      </c>
      <c r="M25" s="56">
        <v>12147100</v>
      </c>
      <c r="N25" s="56">
        <v>12863600</v>
      </c>
      <c r="O25" s="63">
        <v>15313600</v>
      </c>
      <c r="P25" s="56">
        <v>13132000</v>
      </c>
      <c r="Q25" s="56">
        <v>14037100</v>
      </c>
      <c r="R25" s="56">
        <v>14395900</v>
      </c>
      <c r="S25" s="56">
        <f>14093900+791000</f>
        <v>14884900</v>
      </c>
      <c r="T25" s="56">
        <f t="shared" si="2"/>
        <v>165010200</v>
      </c>
    </row>
    <row r="26" spans="1:20">
      <c r="A26" s="26">
        <v>30501182418</v>
      </c>
      <c r="B26" s="33" t="s">
        <v>44</v>
      </c>
      <c r="C26" s="38">
        <v>129000000</v>
      </c>
      <c r="D26" s="43"/>
      <c r="E26" s="43"/>
      <c r="F26" s="10"/>
      <c r="G26" s="64">
        <f t="shared" si="1"/>
        <v>129000000</v>
      </c>
      <c r="H26" s="43">
        <v>10670300</v>
      </c>
      <c r="I26" s="43">
        <v>9647900</v>
      </c>
      <c r="J26" s="43">
        <v>10941300</v>
      </c>
      <c r="K26" s="54">
        <v>10351100</v>
      </c>
      <c r="L26" s="56">
        <v>9568000</v>
      </c>
      <c r="M26" s="56">
        <v>9534000</v>
      </c>
      <c r="N26" s="56">
        <f>9647000+923100</f>
        <v>10570100</v>
      </c>
      <c r="O26" s="63">
        <v>10234900</v>
      </c>
      <c r="P26" s="56">
        <v>10849300</v>
      </c>
      <c r="Q26" s="56">
        <v>10777800</v>
      </c>
      <c r="R26" s="56">
        <v>10047300</v>
      </c>
      <c r="S26" s="56">
        <v>10572100</v>
      </c>
      <c r="T26" s="56">
        <f t="shared" si="2"/>
        <v>123764100</v>
      </c>
    </row>
    <row r="27" spans="1:20">
      <c r="A27" s="26">
        <v>30501182419</v>
      </c>
      <c r="B27" s="33" t="s">
        <v>45</v>
      </c>
      <c r="C27" s="29">
        <v>53000000</v>
      </c>
      <c r="D27" s="43"/>
      <c r="E27" s="43">
        <v>8000000</v>
      </c>
      <c r="F27" s="10"/>
      <c r="G27" s="64">
        <f t="shared" si="1"/>
        <v>45000000</v>
      </c>
      <c r="H27" s="43">
        <v>3557350</v>
      </c>
      <c r="I27" s="43">
        <v>3218050</v>
      </c>
      <c r="J27" s="43">
        <v>4021450</v>
      </c>
      <c r="K27" s="54">
        <v>3451300</v>
      </c>
      <c r="L27" s="56">
        <v>3189900</v>
      </c>
      <c r="M27" s="56">
        <v>3059000</v>
      </c>
      <c r="N27" s="56">
        <v>3216500</v>
      </c>
      <c r="O27" s="63">
        <v>3779350</v>
      </c>
      <c r="P27" s="56">
        <v>3883850</v>
      </c>
      <c r="Q27" s="56">
        <f>3260850+125300</f>
        <v>3386150</v>
      </c>
      <c r="R27" s="56">
        <v>3350400</v>
      </c>
      <c r="S27" s="56">
        <v>3525100</v>
      </c>
      <c r="T27" s="56">
        <f t="shared" si="2"/>
        <v>41638400</v>
      </c>
    </row>
    <row r="28" spans="1:20">
      <c r="A28" s="26">
        <v>30501182420</v>
      </c>
      <c r="B28" s="33" t="s">
        <v>46</v>
      </c>
      <c r="C28" s="29">
        <v>53000000</v>
      </c>
      <c r="D28" s="43"/>
      <c r="E28" s="43">
        <v>25000000</v>
      </c>
      <c r="F28" s="10"/>
      <c r="G28" s="64">
        <f t="shared" si="1"/>
        <v>28000000</v>
      </c>
      <c r="H28" s="43">
        <v>1778675</v>
      </c>
      <c r="I28" s="43">
        <v>1609025</v>
      </c>
      <c r="J28" s="43">
        <v>1637075</v>
      </c>
      <c r="K28" s="54">
        <v>1725650</v>
      </c>
      <c r="L28" s="56">
        <v>1794950</v>
      </c>
      <c r="M28" s="56">
        <v>1594500</v>
      </c>
      <c r="N28" s="56">
        <v>1608250</v>
      </c>
      <c r="O28" s="63">
        <v>1739675</v>
      </c>
      <c r="P28" s="56">
        <v>1841925</v>
      </c>
      <c r="Q28" s="56">
        <v>1630425</v>
      </c>
      <c r="R28" s="56">
        <v>1722850</v>
      </c>
      <c r="S28" s="56">
        <v>1762550</v>
      </c>
      <c r="T28" s="56">
        <f t="shared" si="2"/>
        <v>20445550</v>
      </c>
    </row>
    <row r="29" spans="1:20">
      <c r="A29" s="26">
        <v>30501182421</v>
      </c>
      <c r="B29" s="33" t="s">
        <v>47</v>
      </c>
      <c r="C29" s="38">
        <v>43000000</v>
      </c>
      <c r="D29" s="43"/>
      <c r="E29" s="43">
        <v>15000000</v>
      </c>
      <c r="F29" s="10"/>
      <c r="G29" s="64">
        <f t="shared" si="1"/>
        <v>28000000</v>
      </c>
      <c r="H29" s="43">
        <v>1778675</v>
      </c>
      <c r="I29" s="43">
        <v>1609025</v>
      </c>
      <c r="J29" s="43">
        <v>1637075</v>
      </c>
      <c r="K29" s="54">
        <v>1725650</v>
      </c>
      <c r="L29" s="56">
        <v>1794950</v>
      </c>
      <c r="M29" s="56">
        <v>1594500</v>
      </c>
      <c r="N29" s="56">
        <v>1608250</v>
      </c>
      <c r="O29" s="63">
        <v>1739675</v>
      </c>
      <c r="P29" s="56">
        <v>1841925</v>
      </c>
      <c r="Q29" s="56">
        <v>1630425</v>
      </c>
      <c r="R29" s="56">
        <v>1722850</v>
      </c>
      <c r="S29" s="56">
        <v>1762550</v>
      </c>
      <c r="T29" s="56">
        <f t="shared" si="2"/>
        <v>20445550</v>
      </c>
    </row>
    <row r="30" spans="1:20">
      <c r="A30" s="26">
        <v>30501182422</v>
      </c>
      <c r="B30" s="33" t="s">
        <v>48</v>
      </c>
      <c r="C30" s="38">
        <v>850000000</v>
      </c>
      <c r="D30" s="43">
        <v>100000000</v>
      </c>
      <c r="E30" s="43"/>
      <c r="F30" s="10"/>
      <c r="G30" s="64">
        <f t="shared" si="1"/>
        <v>950000000</v>
      </c>
      <c r="H30" s="43">
        <v>82943832</v>
      </c>
      <c r="I30" s="43">
        <v>77781838</v>
      </c>
      <c r="J30" s="43">
        <v>89707486</v>
      </c>
      <c r="K30" s="54">
        <v>79914496</v>
      </c>
      <c r="L30" s="56">
        <v>78709875</v>
      </c>
      <c r="M30" s="56">
        <v>76318475</v>
      </c>
      <c r="N30" s="56">
        <v>78658770</v>
      </c>
      <c r="O30" s="63">
        <v>72181750</v>
      </c>
      <c r="P30" s="56">
        <v>77840934</v>
      </c>
      <c r="Q30" s="56">
        <v>78087788</v>
      </c>
      <c r="R30" s="56">
        <v>74506500</v>
      </c>
      <c r="S30" s="56">
        <v>82811260</v>
      </c>
      <c r="T30" s="56">
        <f t="shared" si="2"/>
        <v>949463004</v>
      </c>
    </row>
    <row r="31" spans="1:20">
      <c r="A31" s="26">
        <v>30502</v>
      </c>
      <c r="B31" s="33" t="s">
        <v>49</v>
      </c>
      <c r="C31" s="36"/>
      <c r="D31" s="10"/>
      <c r="E31" s="43"/>
      <c r="F31" s="10"/>
      <c r="G31" s="10"/>
      <c r="H31" s="10"/>
      <c r="I31" s="10"/>
      <c r="J31" s="10"/>
      <c r="K31" s="55"/>
      <c r="L31" s="10"/>
      <c r="M31" s="10"/>
      <c r="N31" s="10"/>
      <c r="O31" s="10"/>
      <c r="P31" s="10"/>
      <c r="Q31" s="10"/>
      <c r="R31" s="10"/>
      <c r="S31" s="10"/>
      <c r="T31" s="10"/>
    </row>
    <row r="32" spans="1:20">
      <c r="A32" s="27">
        <v>30502180</v>
      </c>
      <c r="B32" s="27" t="s">
        <v>50</v>
      </c>
      <c r="C32" s="37">
        <f>SUM(C33:C38)</f>
        <v>394500000</v>
      </c>
      <c r="D32" s="37">
        <f t="shared" ref="D32:S32" si="5">SUM(D33:D38)</f>
        <v>0</v>
      </c>
      <c r="E32" s="37">
        <f t="shared" si="5"/>
        <v>0</v>
      </c>
      <c r="F32" s="37">
        <f t="shared" si="5"/>
        <v>0</v>
      </c>
      <c r="G32" s="37">
        <f t="shared" si="5"/>
        <v>394500000</v>
      </c>
      <c r="H32" s="37">
        <f t="shared" si="5"/>
        <v>0</v>
      </c>
      <c r="I32" s="37">
        <f t="shared" si="5"/>
        <v>0</v>
      </c>
      <c r="J32" s="37">
        <f t="shared" si="5"/>
        <v>19609099</v>
      </c>
      <c r="K32" s="37">
        <f t="shared" si="5"/>
        <v>100000000</v>
      </c>
      <c r="L32" s="37">
        <f t="shared" si="5"/>
        <v>0</v>
      </c>
      <c r="M32" s="37">
        <f t="shared" si="5"/>
        <v>0</v>
      </c>
      <c r="N32" s="37">
        <f t="shared" si="5"/>
        <v>0</v>
      </c>
      <c r="O32" s="37">
        <f t="shared" si="5"/>
        <v>0</v>
      </c>
      <c r="P32" s="37">
        <f t="shared" si="5"/>
        <v>8756232</v>
      </c>
      <c r="Q32" s="37">
        <f t="shared" si="5"/>
        <v>0</v>
      </c>
      <c r="R32" s="37">
        <f t="shared" si="5"/>
        <v>1273300</v>
      </c>
      <c r="S32" s="37">
        <f t="shared" si="5"/>
        <v>25594352</v>
      </c>
      <c r="T32" s="28">
        <f>SUM(T33:T38)</f>
        <v>155232983</v>
      </c>
    </row>
    <row r="33" spans="1:20">
      <c r="A33" s="26">
        <v>30502180401</v>
      </c>
      <c r="B33" s="33" t="s">
        <v>51</v>
      </c>
      <c r="C33" s="38">
        <v>19500000</v>
      </c>
      <c r="D33" s="10"/>
      <c r="E33" s="10"/>
      <c r="F33" s="10"/>
      <c r="G33" s="64">
        <f t="shared" ref="G33:G60" si="6">C33+D33-E33</f>
        <v>19500000</v>
      </c>
      <c r="H33" s="43">
        <v>0</v>
      </c>
      <c r="I33" s="43">
        <v>0</v>
      </c>
      <c r="J33" s="43">
        <v>0</v>
      </c>
      <c r="K33" s="54"/>
      <c r="L33" s="56"/>
      <c r="M33" s="10"/>
      <c r="N33" s="10"/>
      <c r="O33" s="10"/>
      <c r="P33" s="10"/>
      <c r="Q33" s="10"/>
      <c r="R33" s="56">
        <v>1273300</v>
      </c>
      <c r="S33" s="56">
        <v>1976352</v>
      </c>
      <c r="T33" s="56">
        <f t="shared" ref="T33:T60" si="7">H33+I33+J33+K33+L33+M33+N33+O33+P33+Q33+R33+S33</f>
        <v>3249652</v>
      </c>
    </row>
    <row r="34" spans="1:20">
      <c r="A34" s="26">
        <v>30502180402</v>
      </c>
      <c r="B34" s="33" t="s">
        <v>52</v>
      </c>
      <c r="C34" s="38">
        <v>200000000</v>
      </c>
      <c r="D34" s="10"/>
      <c r="E34" s="10"/>
      <c r="F34" s="10"/>
      <c r="G34" s="64">
        <f t="shared" si="6"/>
        <v>200000000</v>
      </c>
      <c r="H34" s="43">
        <v>0</v>
      </c>
      <c r="I34" s="43">
        <v>0</v>
      </c>
      <c r="J34" s="43">
        <v>19609099</v>
      </c>
      <c r="K34" s="54"/>
      <c r="L34" s="56"/>
      <c r="M34" s="10"/>
      <c r="N34" s="10"/>
      <c r="O34" s="56"/>
      <c r="P34" s="56">
        <v>8756232</v>
      </c>
      <c r="Q34" s="56"/>
      <c r="R34" s="56"/>
      <c r="S34" s="56">
        <v>23618000</v>
      </c>
      <c r="T34" s="56">
        <f t="shared" si="7"/>
        <v>51983331</v>
      </c>
    </row>
    <row r="35" spans="1:20">
      <c r="A35" s="26">
        <v>30502180403</v>
      </c>
      <c r="B35" s="33" t="s">
        <v>53</v>
      </c>
      <c r="C35" s="29">
        <v>159000000</v>
      </c>
      <c r="D35" s="10"/>
      <c r="E35" s="10"/>
      <c r="F35" s="10"/>
      <c r="G35" s="64">
        <f t="shared" si="6"/>
        <v>159000000</v>
      </c>
      <c r="H35" s="43">
        <v>0</v>
      </c>
      <c r="I35" s="43">
        <v>0</v>
      </c>
      <c r="J35" s="43">
        <v>0</v>
      </c>
      <c r="K35" s="54">
        <v>100000000</v>
      </c>
      <c r="L35" s="56"/>
      <c r="M35" s="10"/>
      <c r="N35" s="10"/>
      <c r="O35" s="56"/>
      <c r="P35" s="56"/>
      <c r="Q35" s="56"/>
      <c r="R35" s="56"/>
      <c r="S35" s="56"/>
      <c r="T35" s="56">
        <f t="shared" si="7"/>
        <v>100000000</v>
      </c>
    </row>
    <row r="36" spans="1:20">
      <c r="A36" s="26">
        <v>30502180404</v>
      </c>
      <c r="B36" s="33" t="s">
        <v>54</v>
      </c>
      <c r="C36" s="38">
        <v>10000000</v>
      </c>
      <c r="D36" s="10"/>
      <c r="E36" s="10"/>
      <c r="F36" s="10"/>
      <c r="G36" s="64">
        <f t="shared" si="6"/>
        <v>10000000</v>
      </c>
      <c r="H36" s="43">
        <v>0</v>
      </c>
      <c r="I36" s="43">
        <v>0</v>
      </c>
      <c r="J36" s="43">
        <v>0</v>
      </c>
      <c r="K36" s="54"/>
      <c r="L36" s="56"/>
      <c r="M36" s="10"/>
      <c r="N36" s="10"/>
      <c r="O36" s="56"/>
      <c r="P36" s="56"/>
      <c r="Q36" s="56"/>
      <c r="R36" s="56"/>
      <c r="S36" s="56"/>
      <c r="T36" s="56">
        <f t="shared" si="7"/>
        <v>0</v>
      </c>
    </row>
    <row r="37" spans="1:20">
      <c r="A37" s="26">
        <v>30502180405</v>
      </c>
      <c r="B37" s="33" t="s">
        <v>55</v>
      </c>
      <c r="C37" s="38">
        <v>1000000</v>
      </c>
      <c r="D37" s="10"/>
      <c r="E37" s="10"/>
      <c r="F37" s="10"/>
      <c r="G37" s="64">
        <f t="shared" si="6"/>
        <v>1000000</v>
      </c>
      <c r="H37" s="43">
        <v>0</v>
      </c>
      <c r="I37" s="43">
        <v>0</v>
      </c>
      <c r="J37" s="43">
        <v>0</v>
      </c>
      <c r="K37" s="54"/>
      <c r="L37" s="56"/>
      <c r="M37" s="10"/>
      <c r="N37" s="10"/>
      <c r="O37" s="56"/>
      <c r="P37" s="56"/>
      <c r="Q37" s="56"/>
      <c r="R37" s="56"/>
      <c r="S37" s="56"/>
      <c r="T37" s="56">
        <f t="shared" si="7"/>
        <v>0</v>
      </c>
    </row>
    <row r="38" spans="1:20">
      <c r="A38" s="26">
        <v>30502180406</v>
      </c>
      <c r="B38" s="33" t="s">
        <v>56</v>
      </c>
      <c r="C38" s="38">
        <v>5000000</v>
      </c>
      <c r="D38" s="10"/>
      <c r="E38" s="10"/>
      <c r="F38" s="10"/>
      <c r="G38" s="64">
        <f t="shared" si="6"/>
        <v>5000000</v>
      </c>
      <c r="H38" s="43">
        <v>0</v>
      </c>
      <c r="I38" s="43">
        <v>0</v>
      </c>
      <c r="J38" s="43">
        <v>0</v>
      </c>
      <c r="K38" s="54"/>
      <c r="L38" s="56"/>
      <c r="M38" s="10"/>
      <c r="N38" s="10"/>
      <c r="O38" s="10"/>
      <c r="P38" s="10"/>
      <c r="Q38" s="10"/>
      <c r="R38" s="56"/>
      <c r="S38" s="56"/>
      <c r="T38" s="56">
        <f t="shared" si="7"/>
        <v>0</v>
      </c>
    </row>
    <row r="39" spans="1:20">
      <c r="A39" s="27">
        <v>30502181</v>
      </c>
      <c r="B39" s="27" t="s">
        <v>57</v>
      </c>
      <c r="C39" s="37">
        <f>SUM(C40:C49)</f>
        <v>796000000</v>
      </c>
      <c r="D39" s="37">
        <f t="shared" ref="D39:S39" si="8">SUM(D40:D49)</f>
        <v>31500000</v>
      </c>
      <c r="E39" s="37">
        <f t="shared" si="8"/>
        <v>85000000</v>
      </c>
      <c r="F39" s="37">
        <f t="shared" si="8"/>
        <v>0</v>
      </c>
      <c r="G39" s="37">
        <f t="shared" si="8"/>
        <v>742500000</v>
      </c>
      <c r="H39" s="37">
        <f t="shared" si="8"/>
        <v>95855854</v>
      </c>
      <c r="I39" s="37">
        <f t="shared" si="8"/>
        <v>21218699</v>
      </c>
      <c r="J39" s="37">
        <f t="shared" si="8"/>
        <v>54470915</v>
      </c>
      <c r="K39" s="37">
        <f t="shared" si="8"/>
        <v>2151149</v>
      </c>
      <c r="L39" s="37">
        <f t="shared" si="8"/>
        <v>40526869</v>
      </c>
      <c r="M39" s="37">
        <f t="shared" si="8"/>
        <v>6639484</v>
      </c>
      <c r="N39" s="37">
        <f t="shared" si="8"/>
        <v>7233949</v>
      </c>
      <c r="O39" s="37">
        <f t="shared" si="8"/>
        <v>15115941</v>
      </c>
      <c r="P39" s="37">
        <f t="shared" si="8"/>
        <v>31882248</v>
      </c>
      <c r="Q39" s="37">
        <f t="shared" si="8"/>
        <v>38678149</v>
      </c>
      <c r="R39" s="37">
        <f t="shared" si="8"/>
        <v>64197969</v>
      </c>
      <c r="S39" s="37">
        <f t="shared" si="8"/>
        <v>30672970</v>
      </c>
      <c r="T39" s="28">
        <f>SUM(T40:T49)</f>
        <v>408644196</v>
      </c>
    </row>
    <row r="40" spans="1:20">
      <c r="A40" s="26">
        <v>30502181407</v>
      </c>
      <c r="B40" s="33" t="s">
        <v>58</v>
      </c>
      <c r="C40" s="38">
        <v>20000000</v>
      </c>
      <c r="D40" s="43"/>
      <c r="E40" s="43"/>
      <c r="F40" s="10"/>
      <c r="G40" s="64">
        <f t="shared" si="6"/>
        <v>20000000</v>
      </c>
      <c r="H40" s="43">
        <v>0</v>
      </c>
      <c r="I40" s="43">
        <v>0</v>
      </c>
      <c r="J40" s="43">
        <v>20000000</v>
      </c>
      <c r="K40" s="54"/>
      <c r="L40" s="56"/>
      <c r="M40" s="10"/>
      <c r="N40" s="10"/>
      <c r="O40" s="10"/>
      <c r="P40" s="10"/>
      <c r="Q40" s="10"/>
      <c r="R40" s="56"/>
      <c r="S40" s="56"/>
      <c r="T40" s="56">
        <f t="shared" si="7"/>
        <v>20000000</v>
      </c>
    </row>
    <row r="41" spans="1:20">
      <c r="A41" s="26">
        <v>30502181408</v>
      </c>
      <c r="B41" s="33" t="s">
        <v>59</v>
      </c>
      <c r="C41" s="38">
        <v>185000000</v>
      </c>
      <c r="D41" s="43"/>
      <c r="E41" s="43"/>
      <c r="F41" s="10"/>
      <c r="G41" s="64">
        <f t="shared" si="6"/>
        <v>185000000</v>
      </c>
      <c r="H41" s="43">
        <v>0</v>
      </c>
      <c r="I41" s="43">
        <v>0</v>
      </c>
      <c r="J41" s="43">
        <v>0</v>
      </c>
      <c r="K41" s="54"/>
      <c r="L41" s="56"/>
      <c r="M41" s="10"/>
      <c r="N41" s="10"/>
      <c r="O41" s="56">
        <v>8472800</v>
      </c>
      <c r="P41" s="56"/>
      <c r="Q41" s="56">
        <v>30000000</v>
      </c>
      <c r="R41" s="56"/>
      <c r="S41" s="56">
        <v>6000000</v>
      </c>
      <c r="T41" s="56">
        <f t="shared" si="7"/>
        <v>44472800</v>
      </c>
    </row>
    <row r="42" spans="1:20">
      <c r="A42" s="26">
        <v>30502181409</v>
      </c>
      <c r="B42" s="33" t="s">
        <v>60</v>
      </c>
      <c r="C42" s="39">
        <v>50000000</v>
      </c>
      <c r="D42" s="43">
        <v>31500000</v>
      </c>
      <c r="E42" s="43"/>
      <c r="F42" s="10"/>
      <c r="G42" s="64">
        <f t="shared" si="6"/>
        <v>81500000</v>
      </c>
      <c r="H42" s="43">
        <v>0</v>
      </c>
      <c r="I42" s="43">
        <v>0</v>
      </c>
      <c r="J42" s="43">
        <v>24154416</v>
      </c>
      <c r="K42" s="54"/>
      <c r="L42" s="56"/>
      <c r="M42" s="10"/>
      <c r="N42" s="10"/>
      <c r="O42" s="10"/>
      <c r="P42" s="10"/>
      <c r="Q42" s="10"/>
      <c r="R42" s="56">
        <v>56986743</v>
      </c>
      <c r="S42" s="56"/>
      <c r="T42" s="56">
        <f t="shared" si="7"/>
        <v>81141159</v>
      </c>
    </row>
    <row r="43" spans="1:20">
      <c r="A43" s="26">
        <v>30502181410</v>
      </c>
      <c r="B43" s="33" t="s">
        <v>61</v>
      </c>
      <c r="C43" s="38">
        <v>220000000</v>
      </c>
      <c r="D43" s="43"/>
      <c r="E43" s="43">
        <v>53500000</v>
      </c>
      <c r="F43" s="10"/>
      <c r="G43" s="64">
        <f t="shared" si="6"/>
        <v>166500000</v>
      </c>
      <c r="H43" s="43">
        <v>17649243</v>
      </c>
      <c r="I43" s="43">
        <v>7218699</v>
      </c>
      <c r="J43" s="43">
        <f>2352703+2226906</f>
        <v>4579609</v>
      </c>
      <c r="K43" s="54">
        <v>2151149</v>
      </c>
      <c r="L43" s="56">
        <v>15621527</v>
      </c>
      <c r="M43" s="56">
        <v>6639484</v>
      </c>
      <c r="N43" s="56">
        <v>7233949</v>
      </c>
      <c r="O43" s="56">
        <f>4484563+2158578</f>
        <v>6643141</v>
      </c>
      <c r="P43" s="56">
        <v>31882248</v>
      </c>
      <c r="Q43" s="56">
        <v>8678149</v>
      </c>
      <c r="R43" s="56">
        <v>6754166</v>
      </c>
      <c r="S43" s="56">
        <v>5601896</v>
      </c>
      <c r="T43" s="56">
        <f t="shared" si="7"/>
        <v>120653260</v>
      </c>
    </row>
    <row r="44" spans="1:20">
      <c r="A44" s="26">
        <v>30502181411</v>
      </c>
      <c r="B44" s="33" t="s">
        <v>62</v>
      </c>
      <c r="C44" s="38">
        <v>30000000</v>
      </c>
      <c r="D44" s="43"/>
      <c r="E44" s="43"/>
      <c r="F44" s="10"/>
      <c r="G44" s="64">
        <f t="shared" si="6"/>
        <v>30000000</v>
      </c>
      <c r="H44" s="43">
        <v>0</v>
      </c>
      <c r="I44" s="43">
        <v>0</v>
      </c>
      <c r="J44" s="43">
        <v>0</v>
      </c>
      <c r="K44" s="54"/>
      <c r="L44" s="56"/>
      <c r="M44" s="10"/>
      <c r="N44" s="10"/>
      <c r="O44" s="10"/>
      <c r="P44" s="10"/>
      <c r="Q44" s="10"/>
      <c r="R44" s="56">
        <v>457060</v>
      </c>
      <c r="S44" s="56"/>
      <c r="T44" s="56">
        <f t="shared" si="7"/>
        <v>457060</v>
      </c>
    </row>
    <row r="45" spans="1:20">
      <c r="A45" s="26">
        <v>30502181412</v>
      </c>
      <c r="B45" s="33" t="s">
        <v>63</v>
      </c>
      <c r="C45" s="38">
        <v>140000000</v>
      </c>
      <c r="D45" s="43"/>
      <c r="E45" s="43"/>
      <c r="F45" s="10"/>
      <c r="G45" s="64">
        <f t="shared" si="6"/>
        <v>140000000</v>
      </c>
      <c r="H45" s="43">
        <v>78206611</v>
      </c>
      <c r="I45" s="43">
        <v>0</v>
      </c>
      <c r="J45" s="43">
        <v>0</v>
      </c>
      <c r="K45" s="54"/>
      <c r="L45" s="56">
        <v>24905342</v>
      </c>
      <c r="M45" s="10"/>
      <c r="N45" s="10"/>
      <c r="O45" s="10"/>
      <c r="P45" s="10"/>
      <c r="Q45" s="10"/>
      <c r="R45" s="56"/>
      <c r="S45" s="56">
        <v>19071074</v>
      </c>
      <c r="T45" s="56">
        <f t="shared" si="7"/>
        <v>122183027</v>
      </c>
    </row>
    <row r="46" spans="1:20">
      <c r="A46" s="26">
        <v>30502181413</v>
      </c>
      <c r="B46" s="33" t="s">
        <v>64</v>
      </c>
      <c r="C46" s="39">
        <v>15000000</v>
      </c>
      <c r="D46" s="43"/>
      <c r="E46" s="43"/>
      <c r="F46" s="10"/>
      <c r="G46" s="64">
        <f t="shared" si="6"/>
        <v>15000000</v>
      </c>
      <c r="H46" s="43">
        <v>0</v>
      </c>
      <c r="I46" s="43">
        <v>0</v>
      </c>
      <c r="J46" s="43">
        <v>5736890</v>
      </c>
      <c r="K46" s="54"/>
      <c r="L46" s="56"/>
      <c r="M46" s="10"/>
      <c r="N46" s="10"/>
      <c r="O46" s="10"/>
      <c r="P46" s="10"/>
      <c r="Q46" s="10"/>
      <c r="R46" s="56"/>
      <c r="S46" s="56"/>
      <c r="T46" s="56">
        <f t="shared" si="7"/>
        <v>5736890</v>
      </c>
    </row>
    <row r="47" spans="1:20">
      <c r="A47" s="26">
        <v>30502181414</v>
      </c>
      <c r="B47" s="33" t="s">
        <v>65</v>
      </c>
      <c r="C47" s="39">
        <v>35000000</v>
      </c>
      <c r="D47" s="43"/>
      <c r="E47" s="43"/>
      <c r="F47" s="10"/>
      <c r="G47" s="64">
        <f t="shared" si="6"/>
        <v>35000000</v>
      </c>
      <c r="H47" s="43">
        <v>0</v>
      </c>
      <c r="I47" s="43">
        <v>0</v>
      </c>
      <c r="J47" s="43">
        <v>0</v>
      </c>
      <c r="K47" s="54"/>
      <c r="L47" s="56"/>
      <c r="M47" s="10"/>
      <c r="N47" s="10"/>
      <c r="O47" s="10"/>
      <c r="P47" s="10"/>
      <c r="Q47" s="10"/>
      <c r="R47" s="56"/>
      <c r="S47" s="56"/>
      <c r="T47" s="56">
        <f t="shared" si="7"/>
        <v>0</v>
      </c>
    </row>
    <row r="48" spans="1:20">
      <c r="A48" s="26">
        <v>30502181415</v>
      </c>
      <c r="B48" s="33" t="s">
        <v>66</v>
      </c>
      <c r="C48" s="39">
        <v>100000000</v>
      </c>
      <c r="D48" s="43"/>
      <c r="E48" s="43">
        <v>31500000</v>
      </c>
      <c r="F48" s="10"/>
      <c r="G48" s="64">
        <f t="shared" si="6"/>
        <v>68500000</v>
      </c>
      <c r="H48" s="43">
        <v>0</v>
      </c>
      <c r="I48" s="43">
        <v>14000000</v>
      </c>
      <c r="J48" s="43">
        <v>0</v>
      </c>
      <c r="K48" s="54"/>
      <c r="L48" s="56"/>
      <c r="M48" s="10"/>
      <c r="N48" s="10"/>
      <c r="O48" s="10"/>
      <c r="P48" s="10"/>
      <c r="Q48" s="10"/>
      <c r="R48" s="56"/>
      <c r="S48" s="56"/>
      <c r="T48" s="56">
        <f t="shared" si="7"/>
        <v>14000000</v>
      </c>
    </row>
    <row r="49" spans="1:20">
      <c r="A49" s="26">
        <v>30502181416</v>
      </c>
      <c r="B49" s="33" t="s">
        <v>67</v>
      </c>
      <c r="C49" s="39">
        <v>1000000</v>
      </c>
      <c r="D49" s="10"/>
      <c r="E49" s="43"/>
      <c r="F49" s="10"/>
      <c r="G49" s="64">
        <f t="shared" si="6"/>
        <v>1000000</v>
      </c>
      <c r="H49" s="43">
        <v>0</v>
      </c>
      <c r="I49" s="43">
        <v>0</v>
      </c>
      <c r="J49" s="43">
        <v>0</v>
      </c>
      <c r="K49" s="54"/>
      <c r="L49" s="56"/>
      <c r="M49" s="10"/>
      <c r="N49" s="10"/>
      <c r="O49" s="10"/>
      <c r="P49" s="10"/>
      <c r="Q49" s="10"/>
      <c r="R49" s="56"/>
      <c r="S49" s="56"/>
      <c r="T49" s="56">
        <f t="shared" si="7"/>
        <v>0</v>
      </c>
    </row>
    <row r="50" spans="1:20">
      <c r="A50" s="27">
        <v>30503180</v>
      </c>
      <c r="B50" s="27" t="s">
        <v>248</v>
      </c>
      <c r="C50" s="40">
        <f>SUM(C51:C54)</f>
        <v>641000000</v>
      </c>
      <c r="D50" s="40">
        <f t="shared" ref="D50:S50" si="9">SUM(D51:D54)</f>
        <v>0</v>
      </c>
      <c r="E50" s="40">
        <f t="shared" si="9"/>
        <v>70000000</v>
      </c>
      <c r="F50" s="40">
        <f t="shared" si="9"/>
        <v>0</v>
      </c>
      <c r="G50" s="40">
        <f t="shared" si="9"/>
        <v>571000000</v>
      </c>
      <c r="H50" s="40">
        <f t="shared" si="9"/>
        <v>29626257</v>
      </c>
      <c r="I50" s="40">
        <f t="shared" si="9"/>
        <v>309490029</v>
      </c>
      <c r="J50" s="40">
        <f t="shared" si="9"/>
        <v>24357318</v>
      </c>
      <c r="K50" s="40">
        <f t="shared" si="9"/>
        <v>6137041</v>
      </c>
      <c r="L50" s="40">
        <f t="shared" si="9"/>
        <v>6137041</v>
      </c>
      <c r="M50" s="40">
        <f t="shared" si="9"/>
        <v>16774082</v>
      </c>
      <c r="N50" s="40">
        <f t="shared" si="9"/>
        <v>57451341</v>
      </c>
      <c r="O50" s="40">
        <f t="shared" si="9"/>
        <v>6137041</v>
      </c>
      <c r="P50" s="40">
        <f t="shared" si="9"/>
        <v>7940957</v>
      </c>
      <c r="Q50" s="40">
        <f t="shared" si="9"/>
        <v>6137041</v>
      </c>
      <c r="R50" s="40">
        <f t="shared" si="9"/>
        <v>24637041</v>
      </c>
      <c r="S50" s="40">
        <f t="shared" si="9"/>
        <v>24875102</v>
      </c>
      <c r="T50" s="30">
        <f>SUM(T51:T54)</f>
        <v>519700291</v>
      </c>
    </row>
    <row r="51" spans="1:20">
      <c r="A51" s="26">
        <v>30503180401</v>
      </c>
      <c r="B51" s="33" t="s">
        <v>68</v>
      </c>
      <c r="C51" s="39">
        <v>110000000</v>
      </c>
      <c r="D51" s="10"/>
      <c r="E51" s="43">
        <v>20000000</v>
      </c>
      <c r="F51" s="10"/>
      <c r="G51" s="64">
        <f t="shared" si="6"/>
        <v>90000000</v>
      </c>
      <c r="H51" s="43">
        <v>6137041</v>
      </c>
      <c r="I51" s="43">
        <v>6137041</v>
      </c>
      <c r="J51" s="43">
        <v>6137041</v>
      </c>
      <c r="K51" s="54">
        <v>6137041</v>
      </c>
      <c r="L51" s="56">
        <v>6137041</v>
      </c>
      <c r="M51" s="56">
        <v>12274082</v>
      </c>
      <c r="N51" s="56">
        <v>6137041</v>
      </c>
      <c r="O51" s="56">
        <v>6137041</v>
      </c>
      <c r="P51" s="56">
        <v>6137041</v>
      </c>
      <c r="Q51" s="56">
        <v>6137041</v>
      </c>
      <c r="R51" s="56">
        <v>6137041</v>
      </c>
      <c r="S51" s="56">
        <v>12274082</v>
      </c>
      <c r="T51" s="56">
        <f t="shared" si="7"/>
        <v>85918574</v>
      </c>
    </row>
    <row r="52" spans="1:20">
      <c r="A52" s="26">
        <v>30503180402</v>
      </c>
      <c r="B52" s="33" t="s">
        <v>69</v>
      </c>
      <c r="C52" s="39">
        <v>1000000</v>
      </c>
      <c r="D52" s="10"/>
      <c r="E52" s="43"/>
      <c r="F52" s="10"/>
      <c r="G52" s="64">
        <f t="shared" si="6"/>
        <v>1000000</v>
      </c>
      <c r="H52" s="43">
        <v>0</v>
      </c>
      <c r="I52" s="43">
        <v>0</v>
      </c>
      <c r="J52" s="43">
        <v>0</v>
      </c>
      <c r="K52" s="54"/>
      <c r="L52" s="56"/>
      <c r="M52" s="10"/>
      <c r="N52" s="10"/>
      <c r="O52" s="10"/>
      <c r="P52" s="10"/>
      <c r="Q52" s="10"/>
      <c r="R52" s="10"/>
      <c r="T52" s="56">
        <f t="shared" si="7"/>
        <v>0</v>
      </c>
    </row>
    <row r="53" spans="1:20">
      <c r="A53" s="26">
        <v>30503180403</v>
      </c>
      <c r="B53" s="33" t="s">
        <v>70</v>
      </c>
      <c r="C53" s="39">
        <v>500000000</v>
      </c>
      <c r="D53" s="10"/>
      <c r="E53" s="43">
        <v>50000000</v>
      </c>
      <c r="F53" s="10"/>
      <c r="G53" s="64">
        <f t="shared" si="6"/>
        <v>450000000</v>
      </c>
      <c r="H53" s="43">
        <v>0</v>
      </c>
      <c r="I53" s="43">
        <v>300828652</v>
      </c>
      <c r="J53" s="43">
        <v>18215329</v>
      </c>
      <c r="K53" s="54"/>
      <c r="L53" s="56"/>
      <c r="M53" s="56">
        <v>4500000</v>
      </c>
      <c r="N53" s="56">
        <v>51314300</v>
      </c>
      <c r="O53" s="56"/>
      <c r="P53" s="56">
        <v>1738994</v>
      </c>
      <c r="Q53" s="56"/>
      <c r="R53" s="56">
        <v>18500000</v>
      </c>
      <c r="S53" s="56">
        <v>12235454</v>
      </c>
      <c r="T53" s="56">
        <f t="shared" si="7"/>
        <v>407332729</v>
      </c>
    </row>
    <row r="54" spans="1:20">
      <c r="A54" s="26">
        <v>30503180404</v>
      </c>
      <c r="B54" s="33" t="s">
        <v>71</v>
      </c>
      <c r="C54" s="39">
        <v>30000000</v>
      </c>
      <c r="D54" s="10"/>
      <c r="E54" s="10"/>
      <c r="F54" s="10"/>
      <c r="G54" s="64">
        <f t="shared" si="6"/>
        <v>30000000</v>
      </c>
      <c r="H54" s="43">
        <v>23489216</v>
      </c>
      <c r="I54" s="43">
        <v>2524336</v>
      </c>
      <c r="J54" s="43">
        <v>4948</v>
      </c>
      <c r="K54" s="54"/>
      <c r="L54" s="56"/>
      <c r="M54" s="10"/>
      <c r="N54" s="10"/>
      <c r="O54" s="56"/>
      <c r="P54" s="56">
        <v>64922</v>
      </c>
      <c r="Q54" s="56"/>
      <c r="R54" s="56"/>
      <c r="S54" s="56">
        <v>365566</v>
      </c>
      <c r="T54" s="56">
        <f t="shared" si="7"/>
        <v>26448988</v>
      </c>
    </row>
    <row r="55" spans="1:20">
      <c r="A55" s="27">
        <v>30503181</v>
      </c>
      <c r="B55" s="27" t="s">
        <v>72</v>
      </c>
      <c r="C55" s="37">
        <f>SUM(C56:C60)</f>
        <v>1200000000</v>
      </c>
      <c r="D55" s="37">
        <f t="shared" ref="D55:S55" si="10">SUM(D56:D60)</f>
        <v>0</v>
      </c>
      <c r="E55" s="37">
        <f t="shared" si="10"/>
        <v>0</v>
      </c>
      <c r="F55" s="37">
        <f t="shared" si="10"/>
        <v>0</v>
      </c>
      <c r="G55" s="37">
        <f t="shared" si="10"/>
        <v>1200000000</v>
      </c>
      <c r="H55" s="37">
        <f t="shared" si="10"/>
        <v>14964796</v>
      </c>
      <c r="I55" s="37">
        <f t="shared" si="10"/>
        <v>30775596</v>
      </c>
      <c r="J55" s="37">
        <f t="shared" si="10"/>
        <v>17550113</v>
      </c>
      <c r="K55" s="37">
        <f t="shared" si="10"/>
        <v>0</v>
      </c>
      <c r="L55" s="37">
        <f t="shared" si="10"/>
        <v>0</v>
      </c>
      <c r="M55" s="37">
        <f t="shared" si="10"/>
        <v>0</v>
      </c>
      <c r="N55" s="37">
        <f t="shared" si="10"/>
        <v>13196088</v>
      </c>
      <c r="O55" s="37">
        <f t="shared" si="10"/>
        <v>818083</v>
      </c>
      <c r="P55" s="37">
        <f t="shared" si="10"/>
        <v>5865831</v>
      </c>
      <c r="Q55" s="37">
        <f t="shared" si="10"/>
        <v>76317537</v>
      </c>
      <c r="R55" s="37">
        <f t="shared" si="10"/>
        <v>76422166</v>
      </c>
      <c r="S55" s="37">
        <f t="shared" si="10"/>
        <v>201901825</v>
      </c>
      <c r="T55" s="28">
        <f>SUM(T56:T60)</f>
        <v>437812035</v>
      </c>
    </row>
    <row r="56" spans="1:20">
      <c r="A56" s="26">
        <v>30503181405</v>
      </c>
      <c r="B56" s="33" t="s">
        <v>73</v>
      </c>
      <c r="C56" s="38">
        <v>30000000</v>
      </c>
      <c r="D56" s="10"/>
      <c r="E56" s="10"/>
      <c r="F56" s="10"/>
      <c r="G56" s="64">
        <f t="shared" si="6"/>
        <v>30000000</v>
      </c>
      <c r="H56" s="43">
        <v>12364796</v>
      </c>
      <c r="I56" s="43">
        <v>0</v>
      </c>
      <c r="J56" s="43">
        <v>0</v>
      </c>
      <c r="K56" s="54"/>
      <c r="L56" s="56"/>
      <c r="M56" s="10"/>
      <c r="N56" s="56"/>
      <c r="O56" s="56"/>
      <c r="P56" s="56"/>
      <c r="Q56" s="56"/>
      <c r="R56" s="56"/>
      <c r="S56" s="56"/>
      <c r="T56" s="56">
        <f t="shared" si="7"/>
        <v>12364796</v>
      </c>
    </row>
    <row r="57" spans="1:20">
      <c r="A57" s="26">
        <v>30503181406</v>
      </c>
      <c r="B57" s="33" t="s">
        <v>74</v>
      </c>
      <c r="C57" s="38">
        <v>80000000</v>
      </c>
      <c r="D57" s="10"/>
      <c r="E57" s="10"/>
      <c r="F57" s="10"/>
      <c r="G57" s="64">
        <f t="shared" si="6"/>
        <v>80000000</v>
      </c>
      <c r="H57" s="43">
        <v>0</v>
      </c>
      <c r="I57" s="43">
        <v>0</v>
      </c>
      <c r="J57" s="43">
        <v>0</v>
      </c>
      <c r="K57" s="54"/>
      <c r="L57" s="56"/>
      <c r="M57" s="10"/>
      <c r="N57" s="56"/>
      <c r="O57" s="56"/>
      <c r="P57" s="56"/>
      <c r="Q57" s="56"/>
      <c r="R57" s="56"/>
      <c r="S57" s="56"/>
      <c r="T57" s="56">
        <f t="shared" si="7"/>
        <v>0</v>
      </c>
    </row>
    <row r="58" spans="1:20">
      <c r="A58" s="26">
        <v>30503181407</v>
      </c>
      <c r="B58" s="33" t="s">
        <v>75</v>
      </c>
      <c r="C58" s="38">
        <v>150000000</v>
      </c>
      <c r="D58" s="10"/>
      <c r="E58" s="10"/>
      <c r="F58" s="10"/>
      <c r="G58" s="64">
        <f t="shared" si="6"/>
        <v>150000000</v>
      </c>
      <c r="H58" s="43">
        <v>2600000</v>
      </c>
      <c r="I58" s="43">
        <v>18192269</v>
      </c>
      <c r="J58" s="43">
        <v>17550113</v>
      </c>
      <c r="K58" s="54"/>
      <c r="L58" s="56"/>
      <c r="M58" s="10"/>
      <c r="N58" s="56">
        <v>13196088</v>
      </c>
      <c r="O58" s="56">
        <f>519281+298802</f>
        <v>818083</v>
      </c>
      <c r="P58" s="56">
        <v>5865831</v>
      </c>
      <c r="Q58" s="56">
        <v>12342075</v>
      </c>
      <c r="R58" s="56">
        <v>4305166</v>
      </c>
      <c r="S58" s="56">
        <v>3145401</v>
      </c>
      <c r="T58" s="56">
        <f t="shared" si="7"/>
        <v>78015026</v>
      </c>
    </row>
    <row r="59" spans="1:20">
      <c r="A59" s="26">
        <v>30503181408</v>
      </c>
      <c r="B59" s="33" t="s">
        <v>76</v>
      </c>
      <c r="C59" s="38">
        <v>40000000</v>
      </c>
      <c r="D59" s="10"/>
      <c r="E59" s="10"/>
      <c r="F59" s="10"/>
      <c r="G59" s="64">
        <f t="shared" si="6"/>
        <v>40000000</v>
      </c>
      <c r="H59" s="43">
        <v>0</v>
      </c>
      <c r="I59" s="43">
        <v>12583327</v>
      </c>
      <c r="J59" s="43">
        <v>0</v>
      </c>
      <c r="K59" s="54"/>
      <c r="L59" s="56"/>
      <c r="M59" s="10"/>
      <c r="N59" s="10"/>
      <c r="O59" s="10"/>
      <c r="P59" s="10"/>
      <c r="Q59" s="10"/>
      <c r="R59" s="10"/>
      <c r="S59" s="10"/>
      <c r="T59" s="56">
        <f t="shared" si="7"/>
        <v>12583327</v>
      </c>
    </row>
    <row r="60" spans="1:20">
      <c r="A60" s="26">
        <v>30503181409</v>
      </c>
      <c r="B60" s="33" t="s">
        <v>77</v>
      </c>
      <c r="C60" s="38">
        <v>900000000</v>
      </c>
      <c r="D60" s="10"/>
      <c r="E60" s="10"/>
      <c r="F60" s="10"/>
      <c r="G60" s="64">
        <f t="shared" si="6"/>
        <v>900000000</v>
      </c>
      <c r="H60" s="43">
        <v>0</v>
      </c>
      <c r="I60" s="43">
        <v>0</v>
      </c>
      <c r="J60" s="43">
        <v>0</v>
      </c>
      <c r="K60" s="54"/>
      <c r="L60" s="56"/>
      <c r="M60" s="10"/>
      <c r="N60" s="10"/>
      <c r="O60" s="10"/>
      <c r="P60" s="10"/>
      <c r="Q60" s="56">
        <v>63975462</v>
      </c>
      <c r="R60" s="56">
        <v>72117000</v>
      </c>
      <c r="S60" s="56">
        <v>198756424</v>
      </c>
      <c r="T60" s="56">
        <f t="shared" si="7"/>
        <v>334848886</v>
      </c>
    </row>
    <row r="61" spans="1:20" ht="15.75">
      <c r="A61" s="31"/>
      <c r="B61" s="27" t="s">
        <v>78</v>
      </c>
      <c r="C61" s="41">
        <f>C7+C19+C24+C32+C39+C50+C55</f>
        <v>9323500000</v>
      </c>
      <c r="D61" s="41">
        <f t="shared" ref="D61:S61" si="11">D7+D19+D24+D32+D39+D50+D55</f>
        <v>313000000</v>
      </c>
      <c r="E61" s="41">
        <f t="shared" si="11"/>
        <v>313000000</v>
      </c>
      <c r="F61" s="41">
        <f t="shared" si="11"/>
        <v>0</v>
      </c>
      <c r="G61" s="41">
        <f t="shared" si="11"/>
        <v>9323500000</v>
      </c>
      <c r="H61" s="41">
        <f t="shared" si="11"/>
        <v>577195161</v>
      </c>
      <c r="I61" s="41">
        <f t="shared" si="11"/>
        <v>840038351</v>
      </c>
      <c r="J61" s="41">
        <f t="shared" si="11"/>
        <v>618158565</v>
      </c>
      <c r="K61" s="41">
        <f t="shared" si="11"/>
        <v>535042414</v>
      </c>
      <c r="L61" s="41">
        <f t="shared" si="11"/>
        <v>485623255</v>
      </c>
      <c r="M61" s="41">
        <f t="shared" si="11"/>
        <v>481668558</v>
      </c>
      <c r="N61" s="41">
        <f t="shared" si="11"/>
        <v>656161251</v>
      </c>
      <c r="O61" s="41">
        <f t="shared" si="11"/>
        <v>487904270</v>
      </c>
      <c r="P61" s="41">
        <f t="shared" si="11"/>
        <v>524161790</v>
      </c>
      <c r="Q61" s="41">
        <f t="shared" si="11"/>
        <v>614762468</v>
      </c>
      <c r="R61" s="41">
        <f t="shared" si="11"/>
        <v>763471538</v>
      </c>
      <c r="S61" s="41">
        <f t="shared" si="11"/>
        <v>1133603966</v>
      </c>
      <c r="T61" s="32">
        <f>T7+T19+T24+T32+T39+T50+T55</f>
        <v>7717791587</v>
      </c>
    </row>
    <row r="62" spans="1:20">
      <c r="A62" s="26">
        <v>30506</v>
      </c>
      <c r="B62" s="27" t="s">
        <v>13</v>
      </c>
      <c r="C62" s="36"/>
      <c r="D62" s="10"/>
      <c r="E62" s="10"/>
      <c r="F62" s="10"/>
      <c r="G62" s="10"/>
      <c r="H62" s="10"/>
      <c r="I62" s="10"/>
      <c r="J62" s="10"/>
      <c r="K62" s="54"/>
      <c r="L62" s="56"/>
      <c r="M62" s="10"/>
      <c r="N62" s="10"/>
      <c r="O62" s="10"/>
      <c r="P62" s="10"/>
      <c r="Q62" s="10"/>
      <c r="R62" s="10"/>
      <c r="S62" s="10"/>
      <c r="T62" s="10"/>
    </row>
    <row r="63" spans="1:20">
      <c r="A63" s="27">
        <v>30506180</v>
      </c>
      <c r="B63" s="27" t="s">
        <v>79</v>
      </c>
      <c r="C63" s="36"/>
      <c r="D63" s="10"/>
      <c r="E63" s="10"/>
      <c r="F63" s="10"/>
      <c r="G63" s="10"/>
      <c r="H63" s="10"/>
      <c r="I63" s="10"/>
      <c r="J63" s="10"/>
      <c r="K63" s="54"/>
      <c r="L63" s="56"/>
      <c r="M63" s="10"/>
      <c r="N63" s="10"/>
      <c r="O63" s="10"/>
      <c r="P63" s="10"/>
      <c r="Q63" s="10"/>
      <c r="R63" s="10"/>
      <c r="S63" s="10"/>
      <c r="T63" s="10"/>
    </row>
    <row r="64" spans="1:20">
      <c r="A64" s="26">
        <v>30506180401</v>
      </c>
      <c r="B64" s="33" t="s">
        <v>80</v>
      </c>
      <c r="C64" s="36">
        <v>0</v>
      </c>
      <c r="D64" s="10"/>
      <c r="E64" s="10"/>
      <c r="F64" s="10"/>
      <c r="G64" s="64">
        <f t="shared" ref="G64:G65" si="12">C64+D64-E64</f>
        <v>0</v>
      </c>
      <c r="H64" s="43">
        <v>0</v>
      </c>
      <c r="I64" s="43">
        <v>0</v>
      </c>
      <c r="J64" s="43">
        <v>0</v>
      </c>
      <c r="K64" s="54"/>
      <c r="L64" s="56"/>
      <c r="M64" s="10"/>
      <c r="N64" s="10"/>
      <c r="O64" s="10"/>
      <c r="P64" s="10"/>
      <c r="Q64" s="10"/>
      <c r="R64" s="10"/>
      <c r="S64" s="10"/>
      <c r="T64" s="56">
        <f t="shared" ref="T64:T65" si="13">H64+I64+J64+K64+L64+M64+N64+O64+P64+Q64+R64+S64</f>
        <v>0</v>
      </c>
    </row>
    <row r="65" spans="1:20">
      <c r="A65" s="26">
        <v>30506180402</v>
      </c>
      <c r="B65" s="33" t="s">
        <v>81</v>
      </c>
      <c r="C65" s="36">
        <v>0</v>
      </c>
      <c r="D65" s="10"/>
      <c r="E65" s="10"/>
      <c r="F65" s="10"/>
      <c r="G65" s="64">
        <f t="shared" si="12"/>
        <v>0</v>
      </c>
      <c r="H65" s="43">
        <v>0</v>
      </c>
      <c r="I65" s="43">
        <v>0</v>
      </c>
      <c r="J65" s="43">
        <v>0</v>
      </c>
      <c r="K65" s="54"/>
      <c r="L65" s="56"/>
      <c r="M65" s="10"/>
      <c r="N65" s="10"/>
      <c r="O65" s="10"/>
      <c r="P65" s="10"/>
      <c r="Q65" s="10"/>
      <c r="R65" s="10"/>
      <c r="S65" s="10"/>
      <c r="T65" s="56">
        <f t="shared" si="13"/>
        <v>0</v>
      </c>
    </row>
    <row r="66" spans="1:20">
      <c r="A66" s="24"/>
      <c r="B66" s="27" t="s">
        <v>82</v>
      </c>
      <c r="C66" s="36"/>
      <c r="D66" s="10"/>
      <c r="E66" s="10"/>
      <c r="F66" s="10"/>
      <c r="G66" s="10"/>
      <c r="H66" s="10"/>
      <c r="I66" s="10"/>
      <c r="J66" s="10"/>
      <c r="K66" s="54"/>
      <c r="L66" s="56"/>
      <c r="M66" s="10"/>
      <c r="N66" s="10"/>
      <c r="O66" s="10"/>
      <c r="P66" s="10"/>
      <c r="Q66" s="10"/>
      <c r="R66" s="10"/>
      <c r="S66" s="10"/>
      <c r="T66" s="10"/>
    </row>
    <row r="67" spans="1:20">
      <c r="A67" s="26">
        <v>30507</v>
      </c>
      <c r="B67" s="27" t="s">
        <v>83</v>
      </c>
      <c r="C67" s="36"/>
      <c r="D67" s="10"/>
      <c r="E67" s="10"/>
      <c r="F67" s="10"/>
      <c r="G67" s="10"/>
      <c r="H67" s="10"/>
      <c r="I67" s="10"/>
      <c r="J67" s="10"/>
      <c r="K67" s="54"/>
      <c r="L67" s="56"/>
      <c r="M67" s="10"/>
      <c r="N67" s="10"/>
      <c r="O67" s="10"/>
      <c r="P67" s="10"/>
      <c r="Q67" s="10"/>
      <c r="R67" s="10"/>
      <c r="S67" s="10"/>
      <c r="T67" s="10"/>
    </row>
    <row r="68" spans="1:20">
      <c r="A68" s="24">
        <v>30507180</v>
      </c>
      <c r="B68" s="27" t="s">
        <v>84</v>
      </c>
      <c r="C68" s="36"/>
      <c r="D68" s="10"/>
      <c r="E68" s="10"/>
      <c r="F68" s="10"/>
      <c r="G68" s="10"/>
      <c r="H68" s="10"/>
      <c r="I68" s="10"/>
      <c r="J68" s="10"/>
      <c r="K68" s="54"/>
      <c r="L68" s="56"/>
      <c r="M68" s="10"/>
      <c r="N68" s="10"/>
      <c r="O68" s="10"/>
      <c r="P68" s="10"/>
      <c r="Q68" s="10"/>
      <c r="R68" s="10"/>
      <c r="S68" s="10"/>
      <c r="T68" s="10"/>
    </row>
    <row r="69" spans="1:20">
      <c r="A69" s="26">
        <v>30507180401</v>
      </c>
      <c r="B69" s="33" t="s">
        <v>85</v>
      </c>
      <c r="C69" s="38">
        <v>400000000</v>
      </c>
      <c r="D69" s="10"/>
      <c r="E69" s="10"/>
      <c r="F69" s="10"/>
      <c r="G69" s="64">
        <f t="shared" ref="G69:G73" si="14">C69+D69-E69</f>
        <v>400000000</v>
      </c>
      <c r="H69" s="43">
        <v>0</v>
      </c>
      <c r="I69" s="43">
        <v>0</v>
      </c>
      <c r="J69" s="43">
        <v>0</v>
      </c>
      <c r="K69" s="54"/>
      <c r="L69" s="56"/>
      <c r="M69" s="10"/>
      <c r="N69" s="10"/>
      <c r="O69" s="10"/>
      <c r="P69" s="10"/>
      <c r="Q69" s="10"/>
      <c r="R69" s="10"/>
      <c r="S69" s="10"/>
      <c r="T69" s="56">
        <f t="shared" ref="T69:T73" si="15">H69+I69+J69+K69+L69+M69+N69+O69+P69+Q69+R69+S69</f>
        <v>0</v>
      </c>
    </row>
    <row r="70" spans="1:20">
      <c r="A70" s="26">
        <v>30507180402</v>
      </c>
      <c r="B70" s="33" t="s">
        <v>228</v>
      </c>
      <c r="C70" s="38">
        <v>800000000</v>
      </c>
      <c r="D70" s="10"/>
      <c r="E70" s="10"/>
      <c r="F70" s="10"/>
      <c r="G70" s="64">
        <f t="shared" si="14"/>
        <v>800000000</v>
      </c>
      <c r="H70" s="43">
        <v>20000000</v>
      </c>
      <c r="I70" s="43">
        <v>0</v>
      </c>
      <c r="J70" s="43">
        <v>23000000</v>
      </c>
      <c r="K70" s="54"/>
      <c r="L70" s="56"/>
      <c r="M70" s="10"/>
      <c r="N70" s="10"/>
      <c r="O70" s="10"/>
      <c r="P70" s="10"/>
      <c r="Q70" s="10"/>
      <c r="R70" s="10"/>
      <c r="S70" s="10"/>
      <c r="T70" s="56">
        <f t="shared" si="15"/>
        <v>43000000</v>
      </c>
    </row>
    <row r="71" spans="1:20">
      <c r="A71" s="26">
        <v>30507180403</v>
      </c>
      <c r="B71" s="33" t="s">
        <v>18</v>
      </c>
      <c r="C71" s="38">
        <v>300000000</v>
      </c>
      <c r="D71" s="10"/>
      <c r="E71" s="10"/>
      <c r="F71" s="10"/>
      <c r="G71" s="64">
        <f t="shared" si="14"/>
        <v>300000000</v>
      </c>
      <c r="H71" s="43">
        <v>0</v>
      </c>
      <c r="I71" s="43">
        <v>0</v>
      </c>
      <c r="J71" s="43">
        <v>0</v>
      </c>
      <c r="K71" s="54"/>
      <c r="L71" s="56"/>
      <c r="M71" s="10"/>
      <c r="N71" s="10"/>
      <c r="O71" s="10"/>
      <c r="P71" s="10"/>
      <c r="Q71" s="10"/>
      <c r="R71" s="10"/>
      <c r="S71" s="10"/>
      <c r="T71" s="56">
        <f t="shared" si="15"/>
        <v>0</v>
      </c>
    </row>
    <row r="72" spans="1:20">
      <c r="A72" s="26">
        <v>30507180404</v>
      </c>
      <c r="B72" s="33" t="s">
        <v>19</v>
      </c>
      <c r="C72" s="38">
        <v>400000000</v>
      </c>
      <c r="D72" s="10"/>
      <c r="E72" s="10"/>
      <c r="F72" s="10"/>
      <c r="G72" s="64">
        <f t="shared" si="14"/>
        <v>400000000</v>
      </c>
      <c r="H72" s="43">
        <v>0</v>
      </c>
      <c r="I72" s="43">
        <v>0</v>
      </c>
      <c r="J72" s="43">
        <v>0</v>
      </c>
      <c r="K72" s="54"/>
      <c r="L72" s="56"/>
      <c r="M72" s="10"/>
      <c r="N72" s="10"/>
      <c r="O72" s="10"/>
      <c r="P72" s="10"/>
      <c r="Q72" s="10"/>
      <c r="R72" s="10"/>
      <c r="S72" s="10"/>
      <c r="T72" s="56">
        <f t="shared" si="15"/>
        <v>0</v>
      </c>
    </row>
    <row r="73" spans="1:20">
      <c r="A73" s="26">
        <v>30507180405</v>
      </c>
      <c r="B73" s="33" t="s">
        <v>20</v>
      </c>
      <c r="C73" s="38">
        <v>500000000</v>
      </c>
      <c r="D73" s="10"/>
      <c r="E73" s="10"/>
      <c r="F73" s="10"/>
      <c r="G73" s="64">
        <f t="shared" si="14"/>
        <v>500000000</v>
      </c>
      <c r="H73" s="43">
        <v>0</v>
      </c>
      <c r="I73" s="43">
        <v>0</v>
      </c>
      <c r="J73" s="43">
        <v>0</v>
      </c>
      <c r="K73" s="54"/>
      <c r="L73" s="56"/>
      <c r="M73" s="10"/>
      <c r="N73" s="10"/>
      <c r="O73" s="10"/>
      <c r="P73" s="10"/>
      <c r="Q73" s="10"/>
      <c r="R73" s="10"/>
      <c r="S73" s="10"/>
      <c r="T73" s="56">
        <f t="shared" si="15"/>
        <v>0</v>
      </c>
    </row>
    <row r="74" spans="1:20" ht="15.75">
      <c r="A74" s="31"/>
      <c r="B74" s="27" t="s">
        <v>86</v>
      </c>
      <c r="C74" s="41">
        <f>SUM(C69:C73)</f>
        <v>2400000000</v>
      </c>
      <c r="D74" s="47">
        <f t="shared" ref="D74:L74" si="16">SUM(D69:D73)</f>
        <v>0</v>
      </c>
      <c r="E74" s="47">
        <f t="shared" si="16"/>
        <v>0</v>
      </c>
      <c r="F74" s="47">
        <f t="shared" si="16"/>
        <v>0</v>
      </c>
      <c r="G74" s="47">
        <f t="shared" si="16"/>
        <v>2400000000</v>
      </c>
      <c r="H74" s="47">
        <f t="shared" si="16"/>
        <v>20000000</v>
      </c>
      <c r="I74" s="47">
        <f t="shared" si="16"/>
        <v>0</v>
      </c>
      <c r="J74" s="47">
        <f t="shared" si="16"/>
        <v>23000000</v>
      </c>
      <c r="K74" s="47">
        <f t="shared" si="16"/>
        <v>0</v>
      </c>
      <c r="L74" s="47">
        <f t="shared" si="16"/>
        <v>0</v>
      </c>
      <c r="M74" s="10"/>
      <c r="N74" s="10"/>
      <c r="O74" s="10"/>
      <c r="P74" s="10"/>
      <c r="Q74" s="10"/>
      <c r="R74" s="10"/>
      <c r="S74" s="10"/>
      <c r="T74" s="32">
        <f>SUM(T69:T73)</f>
        <v>43000000</v>
      </c>
    </row>
    <row r="75" spans="1:20" ht="19.5">
      <c r="A75" s="82" t="s">
        <v>232</v>
      </c>
      <c r="B75" s="82"/>
      <c r="C75" s="42">
        <f>C61+C66+C74</f>
        <v>11723500000</v>
      </c>
      <c r="D75" s="14">
        <f t="shared" ref="D75:S75" si="17">D61+D66+D74</f>
        <v>313000000</v>
      </c>
      <c r="E75" s="14">
        <f t="shared" si="17"/>
        <v>313000000</v>
      </c>
      <c r="F75" s="14">
        <f t="shared" si="17"/>
        <v>0</v>
      </c>
      <c r="G75" s="14">
        <f t="shared" si="17"/>
        <v>11723500000</v>
      </c>
      <c r="H75" s="14">
        <f t="shared" si="17"/>
        <v>597195161</v>
      </c>
      <c r="I75" s="14">
        <f t="shared" si="17"/>
        <v>840038351</v>
      </c>
      <c r="J75" s="14">
        <f t="shared" si="17"/>
        <v>641158565</v>
      </c>
      <c r="K75" s="42">
        <f t="shared" si="17"/>
        <v>535042414</v>
      </c>
      <c r="L75" s="42">
        <f t="shared" si="17"/>
        <v>485623255</v>
      </c>
      <c r="M75" s="42">
        <f t="shared" si="17"/>
        <v>481668558</v>
      </c>
      <c r="N75" s="42">
        <f t="shared" si="17"/>
        <v>656161251</v>
      </c>
      <c r="O75" s="42">
        <f t="shared" si="17"/>
        <v>487904270</v>
      </c>
      <c r="P75" s="42">
        <f t="shared" si="17"/>
        <v>524161790</v>
      </c>
      <c r="Q75" s="42">
        <f t="shared" si="17"/>
        <v>614762468</v>
      </c>
      <c r="R75" s="42">
        <f t="shared" si="17"/>
        <v>763471538</v>
      </c>
      <c r="S75" s="42">
        <f t="shared" si="17"/>
        <v>1133603966</v>
      </c>
      <c r="T75" s="14">
        <f>T61+T66+T74</f>
        <v>7760791587</v>
      </c>
    </row>
    <row r="76" spans="1:20">
      <c r="G76" s="45"/>
      <c r="H76" s="45"/>
      <c r="I76" s="45"/>
      <c r="J76" s="46"/>
      <c r="K76" s="46"/>
      <c r="L76" s="46"/>
      <c r="M76" s="45"/>
      <c r="N76" s="45"/>
      <c r="O76" s="45"/>
      <c r="P76" s="45"/>
      <c r="Q76" s="45"/>
      <c r="R76" s="45"/>
      <c r="S76" s="45"/>
    </row>
    <row r="77" spans="1:20">
      <c r="J77" s="44"/>
      <c r="K77" s="44"/>
      <c r="L77" s="44"/>
    </row>
    <row r="78" spans="1:20">
      <c r="T78" s="44"/>
    </row>
    <row r="81" spans="6:7">
      <c r="F81" s="51"/>
    </row>
    <row r="82" spans="6:7">
      <c r="F82" s="51"/>
    </row>
    <row r="83" spans="6:7">
      <c r="F83" s="51"/>
    </row>
    <row r="84" spans="6:7">
      <c r="F84" s="51"/>
    </row>
    <row r="85" spans="6:7">
      <c r="F85" s="51"/>
    </row>
    <row r="89" spans="6:7">
      <c r="G89">
        <v>160</v>
      </c>
    </row>
    <row r="90" spans="6:7">
      <c r="G90">
        <v>20</v>
      </c>
    </row>
    <row r="91" spans="6:7">
      <c r="G91">
        <v>100</v>
      </c>
    </row>
    <row r="92" spans="6:7">
      <c r="G92">
        <v>1.5</v>
      </c>
    </row>
    <row r="93" spans="6:7">
      <c r="G93">
        <f>SUM(G89:G92)</f>
        <v>281.5</v>
      </c>
    </row>
  </sheetData>
  <mergeCells count="22">
    <mergeCell ref="P3:P4"/>
    <mergeCell ref="A75:B75"/>
    <mergeCell ref="C3:C4"/>
    <mergeCell ref="J3:J4"/>
    <mergeCell ref="T3:T4"/>
    <mergeCell ref="Q3:Q4"/>
    <mergeCell ref="N3:N4"/>
    <mergeCell ref="O3:O4"/>
    <mergeCell ref="R3:R4"/>
    <mergeCell ref="S3:S4"/>
    <mergeCell ref="A1:M1"/>
    <mergeCell ref="A2:M2"/>
    <mergeCell ref="D3:E3"/>
    <mergeCell ref="F3:F4"/>
    <mergeCell ref="G3:G4"/>
    <mergeCell ref="H3:H4"/>
    <mergeCell ref="I3:I4"/>
    <mergeCell ref="A3:A4"/>
    <mergeCell ref="B3:B4"/>
    <mergeCell ref="K3:K4"/>
    <mergeCell ref="L3:L4"/>
    <mergeCell ref="M3:M4"/>
  </mergeCells>
  <printOptions horizontalCentered="1"/>
  <pageMargins left="0.70866141732283472" right="0.70866141732283472" top="0.59055118110236227" bottom="0.74803149606299213" header="0.31496062992125984" footer="0.31496062992125984"/>
  <pageSetup paperSize="190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workbookViewId="0">
      <pane xSplit="3" ySplit="4" topLeftCell="M58" activePane="bottomRight" state="frozen"/>
      <selection pane="topRight" activeCell="D1" sqref="D1"/>
      <selection pane="bottomLeft" activeCell="A5" sqref="A5"/>
      <selection pane="bottomRight" activeCell="Q8" sqref="Q8:Q69"/>
    </sheetView>
  </sheetViews>
  <sheetFormatPr baseColWidth="10" defaultRowHeight="15"/>
  <cols>
    <col min="1" max="1" width="7.140625" customWidth="1"/>
    <col min="2" max="2" width="37.85546875" customWidth="1"/>
    <col min="3" max="3" width="20.140625" customWidth="1"/>
    <col min="4" max="4" width="14.42578125" customWidth="1"/>
    <col min="5" max="5" width="19" customWidth="1"/>
    <col min="6" max="6" width="19.5703125" bestFit="1" customWidth="1"/>
    <col min="7" max="7" width="21.7109375" bestFit="1" customWidth="1"/>
    <col min="8" max="8" width="20" bestFit="1" customWidth="1"/>
    <col min="9" max="10" width="18.85546875" bestFit="1" customWidth="1"/>
    <col min="11" max="11" width="19.7109375" customWidth="1"/>
    <col min="12" max="12" width="17.28515625" customWidth="1"/>
    <col min="13" max="16" width="15.7109375" customWidth="1"/>
    <col min="17" max="17" width="18.42578125" customWidth="1"/>
    <col min="18" max="18" width="16.7109375" customWidth="1"/>
    <col min="19" max="19" width="23.140625" customWidth="1"/>
    <col min="20" max="20" width="23.85546875" customWidth="1"/>
  </cols>
  <sheetData>
    <row r="1" spans="1:18" ht="15.75">
      <c r="A1" s="74" t="s">
        <v>0</v>
      </c>
      <c r="B1" s="74"/>
      <c r="C1" s="74"/>
      <c r="D1" s="74"/>
      <c r="E1" s="74"/>
      <c r="F1" s="74"/>
      <c r="G1" s="74"/>
      <c r="H1" s="74"/>
      <c r="I1" s="50"/>
      <c r="J1" s="53"/>
      <c r="K1" s="58"/>
      <c r="L1" s="59"/>
      <c r="M1" s="59"/>
      <c r="N1" s="61"/>
      <c r="O1" s="65"/>
      <c r="P1" s="67"/>
      <c r="Q1" s="69"/>
    </row>
    <row r="2" spans="1:18" ht="15.75">
      <c r="A2" s="74" t="s">
        <v>249</v>
      </c>
      <c r="B2" s="74"/>
      <c r="C2" s="74"/>
      <c r="D2" s="74"/>
      <c r="E2" s="74"/>
      <c r="F2" s="74"/>
      <c r="G2" s="74"/>
      <c r="H2" s="74"/>
      <c r="M2" s="59"/>
      <c r="N2" s="61"/>
      <c r="O2" s="65"/>
      <c r="P2" s="67"/>
      <c r="Q2" s="69"/>
    </row>
    <row r="3" spans="1:18" ht="15" customHeight="1">
      <c r="A3" s="84" t="s">
        <v>1</v>
      </c>
      <c r="B3" s="84" t="s">
        <v>87</v>
      </c>
      <c r="C3" s="84" t="s">
        <v>227</v>
      </c>
      <c r="D3" s="84" t="s">
        <v>234</v>
      </c>
      <c r="E3" s="84" t="s">
        <v>235</v>
      </c>
      <c r="F3" s="84" t="s">
        <v>236</v>
      </c>
      <c r="G3" s="84" t="s">
        <v>237</v>
      </c>
      <c r="H3" s="84" t="s">
        <v>238</v>
      </c>
      <c r="I3" s="84" t="s">
        <v>250</v>
      </c>
      <c r="J3" s="84" t="s">
        <v>253</v>
      </c>
      <c r="K3" s="84" t="s">
        <v>254</v>
      </c>
      <c r="L3" s="84" t="s">
        <v>256</v>
      </c>
      <c r="M3" s="84" t="s">
        <v>257</v>
      </c>
      <c r="N3" s="84" t="s">
        <v>260</v>
      </c>
      <c r="O3" s="84" t="s">
        <v>262</v>
      </c>
      <c r="P3" s="84" t="s">
        <v>264</v>
      </c>
      <c r="Q3" s="84" t="s">
        <v>266</v>
      </c>
      <c r="R3" s="84" t="s">
        <v>267</v>
      </c>
    </row>
    <row r="4" spans="1:18" ht="20.25" customHeight="1">
      <c r="A4" s="88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</row>
    <row r="5" spans="1:18">
      <c r="A5" s="15">
        <v>1.1000000000000001</v>
      </c>
      <c r="B5" s="16" t="s">
        <v>4</v>
      </c>
      <c r="C5" s="17">
        <f t="shared" ref="C5:R5" si="0">C6</f>
        <v>1500000000</v>
      </c>
      <c r="D5" s="17">
        <f t="shared" si="0"/>
        <v>0</v>
      </c>
      <c r="E5" s="17">
        <f t="shared" si="0"/>
        <v>0</v>
      </c>
      <c r="F5" s="17">
        <f t="shared" si="0"/>
        <v>56766445</v>
      </c>
      <c r="G5" s="17">
        <f t="shared" si="0"/>
        <v>129880541</v>
      </c>
      <c r="H5" s="17">
        <f t="shared" si="0"/>
        <v>114891638</v>
      </c>
      <c r="I5" s="17">
        <f t="shared" si="0"/>
        <v>290230476</v>
      </c>
      <c r="J5" s="17">
        <f t="shared" si="0"/>
        <v>92620711</v>
      </c>
      <c r="K5" s="17">
        <f t="shared" si="0"/>
        <v>156275331</v>
      </c>
      <c r="L5" s="17">
        <f t="shared" si="0"/>
        <v>187201457</v>
      </c>
      <c r="M5" s="17">
        <f t="shared" si="0"/>
        <v>85730771</v>
      </c>
      <c r="N5" s="17">
        <f t="shared" si="0"/>
        <v>98123199</v>
      </c>
      <c r="O5" s="17">
        <f t="shared" si="0"/>
        <v>96629218</v>
      </c>
      <c r="P5" s="17">
        <f t="shared" si="0"/>
        <v>114966067</v>
      </c>
      <c r="Q5" s="17">
        <f t="shared" si="0"/>
        <v>93443530</v>
      </c>
      <c r="R5" s="17">
        <f t="shared" si="0"/>
        <v>1516759384</v>
      </c>
    </row>
    <row r="6" spans="1:18">
      <c r="A6" s="18" t="s">
        <v>88</v>
      </c>
      <c r="B6" s="19" t="s">
        <v>89</v>
      </c>
      <c r="C6" s="20">
        <v>1500000000</v>
      </c>
      <c r="D6" s="20"/>
      <c r="E6" s="20"/>
      <c r="F6" s="20">
        <v>56766445</v>
      </c>
      <c r="G6" s="20">
        <v>129880541</v>
      </c>
      <c r="H6" s="20">
        <v>114891638</v>
      </c>
      <c r="I6" s="20">
        <f>130687148+159543328</f>
        <v>290230476</v>
      </c>
      <c r="J6" s="20">
        <f>4118870+28901841+59600000</f>
        <v>92620711</v>
      </c>
      <c r="K6" s="20">
        <v>156275331</v>
      </c>
      <c r="L6" s="20">
        <f>138030283+49171174</f>
        <v>187201457</v>
      </c>
      <c r="M6" s="20">
        <f>65459360+20271411</f>
        <v>85730771</v>
      </c>
      <c r="N6" s="20">
        <v>98123199</v>
      </c>
      <c r="O6" s="20">
        <v>96629218</v>
      </c>
      <c r="P6" s="20">
        <v>114966067</v>
      </c>
      <c r="Q6" s="20">
        <v>93443530</v>
      </c>
      <c r="R6" s="48">
        <f>F6+G6+H6+I6+J6+K6+L6+M6+N6+O6+P6+Q6</f>
        <v>1516759384</v>
      </c>
    </row>
    <row r="7" spans="1:18">
      <c r="A7" s="15">
        <v>1.2</v>
      </c>
      <c r="B7" s="16" t="s">
        <v>5</v>
      </c>
      <c r="C7" s="17">
        <f t="shared" ref="C7:R7" si="1">C8+C9+C10+C11+C12+C13+C14+C15+C16+C17+C18+C19+C20+C21+C22+C23+C24+C25+C26+C27+C28+C29+C30+C31+C32+C33+C34+C35+C36+C37+C38+C39+C40+C41+C42+C43+C44+C45+C46+C47+C48+C49+C50+C51+C52+C53+C54+C55+C56+C57+C58+C59+C60+C61+C62+C63+C64+C65+C66+C67+C68+C69</f>
        <v>7000500000</v>
      </c>
      <c r="D7" s="17">
        <f t="shared" si="1"/>
        <v>0</v>
      </c>
      <c r="E7" s="17">
        <f t="shared" si="1"/>
        <v>0</v>
      </c>
      <c r="F7" s="17">
        <f t="shared" si="1"/>
        <v>341464029</v>
      </c>
      <c r="G7" s="17">
        <f t="shared" si="1"/>
        <v>390664215</v>
      </c>
      <c r="H7" s="17">
        <f t="shared" si="1"/>
        <v>261676866</v>
      </c>
      <c r="I7" s="17">
        <f t="shared" si="1"/>
        <v>43701812</v>
      </c>
      <c r="J7" s="17">
        <f t="shared" si="1"/>
        <v>111894544</v>
      </c>
      <c r="K7" s="17">
        <f t="shared" si="1"/>
        <v>298395402</v>
      </c>
      <c r="L7" s="17">
        <f t="shared" si="1"/>
        <v>321253881</v>
      </c>
      <c r="M7" s="17">
        <f t="shared" si="1"/>
        <v>174959620</v>
      </c>
      <c r="N7" s="17">
        <f t="shared" si="1"/>
        <v>236299740</v>
      </c>
      <c r="O7" s="17">
        <f t="shared" si="1"/>
        <v>272238024</v>
      </c>
      <c r="P7" s="17">
        <f t="shared" si="1"/>
        <v>237832715</v>
      </c>
      <c r="Q7" s="17">
        <f t="shared" si="1"/>
        <v>391087509</v>
      </c>
      <c r="R7" s="17">
        <f t="shared" si="1"/>
        <v>3081468357</v>
      </c>
    </row>
    <row r="8" spans="1:18">
      <c r="A8" s="18" t="s">
        <v>90</v>
      </c>
      <c r="B8" s="19" t="s">
        <v>91</v>
      </c>
      <c r="C8" s="20">
        <f>2619290000+600000</f>
        <v>2619890000</v>
      </c>
      <c r="D8" s="20"/>
      <c r="E8" s="20"/>
      <c r="F8" s="20">
        <f>1725+36688354</f>
        <v>36690079</v>
      </c>
      <c r="G8" s="20">
        <f>1788+42363598</f>
        <v>42365386</v>
      </c>
      <c r="H8" s="20">
        <f>1073+26367793</f>
        <v>26368866</v>
      </c>
      <c r="I8" s="20"/>
      <c r="J8" s="20">
        <f>55+6373108</f>
        <v>6373163</v>
      </c>
      <c r="K8" s="20">
        <f>1336+32094305</f>
        <v>32095641</v>
      </c>
      <c r="L8" s="20">
        <v>25177740</v>
      </c>
      <c r="M8" s="20">
        <v>24336314</v>
      </c>
      <c r="N8" s="20">
        <f>942+24846695</f>
        <v>24847637</v>
      </c>
      <c r="O8" s="20">
        <v>55890616</v>
      </c>
      <c r="P8" s="20">
        <v>47983038</v>
      </c>
      <c r="Q8" s="20">
        <v>50505043</v>
      </c>
      <c r="R8" s="48">
        <f t="shared" ref="R8:R69" si="2">F8+G8+H8+I8+J8+K8+L8+M8+N8+O8+P8+Q8</f>
        <v>372633523</v>
      </c>
    </row>
    <row r="9" spans="1:18">
      <c r="A9" s="18" t="s">
        <v>92</v>
      </c>
      <c r="B9" s="19" t="s">
        <v>93</v>
      </c>
      <c r="C9" s="20">
        <v>500000000</v>
      </c>
      <c r="D9" s="20"/>
      <c r="E9" s="20"/>
      <c r="F9" s="20">
        <v>58132680</v>
      </c>
      <c r="G9" s="20">
        <v>75534090</v>
      </c>
      <c r="H9" s="20">
        <v>45287880</v>
      </c>
      <c r="I9" s="20">
        <v>4285438</v>
      </c>
      <c r="J9" s="20">
        <v>17258699</v>
      </c>
      <c r="K9" s="20">
        <v>66400819</v>
      </c>
      <c r="L9" s="20">
        <v>93249701</v>
      </c>
      <c r="M9" s="20">
        <v>39834279</v>
      </c>
      <c r="N9" s="20">
        <v>17864523</v>
      </c>
      <c r="O9" s="20">
        <v>10088076</v>
      </c>
      <c r="P9" s="20">
        <v>8403914</v>
      </c>
      <c r="Q9" s="20">
        <f>52186918-Q77</f>
        <v>14290376</v>
      </c>
      <c r="R9" s="48">
        <f t="shared" si="2"/>
        <v>450630475</v>
      </c>
    </row>
    <row r="10" spans="1:18">
      <c r="A10" s="18" t="s">
        <v>94</v>
      </c>
      <c r="B10" s="19" t="s">
        <v>95</v>
      </c>
      <c r="C10" s="20">
        <v>600000000</v>
      </c>
      <c r="D10" s="20"/>
      <c r="E10" s="20"/>
      <c r="F10" s="20">
        <f>138845080</f>
        <v>138845080</v>
      </c>
      <c r="G10" s="20">
        <v>149658172</v>
      </c>
      <c r="H10" s="20">
        <v>97251041</v>
      </c>
      <c r="I10" s="20">
        <v>4395841</v>
      </c>
      <c r="J10" s="20">
        <f>8676495+18849623</f>
        <v>27526118</v>
      </c>
      <c r="K10" s="20">
        <v>78738967</v>
      </c>
      <c r="L10" s="20">
        <v>90870897</v>
      </c>
      <c r="M10" s="20">
        <f>18397835+52952051-28590316</f>
        <v>42759570</v>
      </c>
      <c r="N10" s="20">
        <f>89374640</f>
        <v>89374640</v>
      </c>
      <c r="O10" s="20">
        <v>88756020</v>
      </c>
      <c r="P10" s="20">
        <v>69522674</v>
      </c>
      <c r="Q10" s="20">
        <v>90147507</v>
      </c>
      <c r="R10" s="48">
        <f t="shared" si="2"/>
        <v>967846527</v>
      </c>
    </row>
    <row r="11" spans="1:18">
      <c r="A11" s="18" t="s">
        <v>96</v>
      </c>
      <c r="B11" s="19" t="s">
        <v>97</v>
      </c>
      <c r="C11" s="20">
        <v>365000000</v>
      </c>
      <c r="D11" s="20"/>
      <c r="E11" s="20"/>
      <c r="F11" s="20">
        <v>8814556</v>
      </c>
      <c r="G11" s="20">
        <v>7971242</v>
      </c>
      <c r="H11" s="20">
        <v>5804798</v>
      </c>
      <c r="I11" s="20"/>
      <c r="J11" s="20">
        <v>91467</v>
      </c>
      <c r="K11" s="20">
        <v>5823974</v>
      </c>
      <c r="L11" s="20">
        <v>9168176</v>
      </c>
      <c r="M11" s="20">
        <v>4614577</v>
      </c>
      <c r="N11" s="20">
        <v>8894925</v>
      </c>
      <c r="O11" s="20">
        <v>8851973</v>
      </c>
      <c r="P11" s="20">
        <v>8353986</v>
      </c>
      <c r="Q11" s="20">
        <v>8844685</v>
      </c>
      <c r="R11" s="48">
        <f t="shared" si="2"/>
        <v>77234359</v>
      </c>
    </row>
    <row r="12" spans="1:18">
      <c r="A12" s="18" t="s">
        <v>98</v>
      </c>
      <c r="B12" s="19" t="s">
        <v>99</v>
      </c>
      <c r="C12" s="20">
        <v>100000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48">
        <f t="shared" si="2"/>
        <v>0</v>
      </c>
    </row>
    <row r="13" spans="1:18">
      <c r="A13" s="18" t="s">
        <v>100</v>
      </c>
      <c r="B13" s="19" t="s">
        <v>101</v>
      </c>
      <c r="C13" s="20">
        <v>26000000</v>
      </c>
      <c r="D13" s="20"/>
      <c r="E13" s="20"/>
      <c r="F13" s="20">
        <v>526292</v>
      </c>
      <c r="G13" s="20">
        <v>744068</v>
      </c>
      <c r="H13" s="20">
        <v>344812</v>
      </c>
      <c r="I13" s="20"/>
      <c r="J13" s="20"/>
      <c r="K13" s="20"/>
      <c r="L13" s="20">
        <v>272220</v>
      </c>
      <c r="M13" s="20">
        <v>199628</v>
      </c>
      <c r="N13" s="20">
        <f>108888+27617</f>
        <v>136505</v>
      </c>
      <c r="O13" s="20">
        <v>308516</v>
      </c>
      <c r="P13" s="20">
        <v>272220</v>
      </c>
      <c r="Q13" s="20">
        <v>326664</v>
      </c>
      <c r="R13" s="48">
        <f t="shared" si="2"/>
        <v>3130925</v>
      </c>
    </row>
    <row r="14" spans="1:18">
      <c r="A14" s="18" t="s">
        <v>102</v>
      </c>
      <c r="B14" s="19" t="s">
        <v>103</v>
      </c>
      <c r="C14" s="20">
        <v>38000000</v>
      </c>
      <c r="D14" s="20"/>
      <c r="E14" s="20"/>
      <c r="F14" s="20">
        <f>834808</f>
        <v>834808</v>
      </c>
      <c r="G14" s="34">
        <v>1088880</v>
      </c>
      <c r="H14" s="20">
        <v>580736</v>
      </c>
      <c r="I14" s="20"/>
      <c r="J14" s="20">
        <v>54444</v>
      </c>
      <c r="K14" s="20">
        <f>272220+326664</f>
        <v>598884</v>
      </c>
      <c r="L14" s="34">
        <v>453700</v>
      </c>
      <c r="M14" s="20">
        <v>308516</v>
      </c>
      <c r="N14" s="20">
        <v>254072</v>
      </c>
      <c r="O14" s="20">
        <v>544440</v>
      </c>
      <c r="P14" s="20">
        <v>508144</v>
      </c>
      <c r="Q14" s="20">
        <v>744068</v>
      </c>
      <c r="R14" s="48">
        <f t="shared" si="2"/>
        <v>5970692</v>
      </c>
    </row>
    <row r="15" spans="1:18">
      <c r="A15" s="18" t="s">
        <v>104</v>
      </c>
      <c r="B15" s="19" t="s">
        <v>105</v>
      </c>
      <c r="C15" s="20">
        <v>95000000</v>
      </c>
      <c r="D15" s="20"/>
      <c r="E15" s="20"/>
      <c r="F15" s="20">
        <v>5779310</v>
      </c>
      <c r="G15" s="20">
        <v>7934852</v>
      </c>
      <c r="H15" s="20">
        <v>5572120</v>
      </c>
      <c r="I15" s="20">
        <v>11793974</v>
      </c>
      <c r="J15" s="20">
        <v>9188425</v>
      </c>
      <c r="K15" s="20">
        <v>4864727</v>
      </c>
      <c r="L15" s="20">
        <f>5694479</f>
        <v>5694479</v>
      </c>
      <c r="M15" s="20">
        <v>4374354</v>
      </c>
      <c r="N15" s="20">
        <v>3895542</v>
      </c>
      <c r="O15" s="20">
        <v>4207669</v>
      </c>
      <c r="P15" s="20">
        <v>3834829</v>
      </c>
      <c r="Q15" s="20">
        <v>4598891</v>
      </c>
      <c r="R15" s="48">
        <f t="shared" si="2"/>
        <v>71739172</v>
      </c>
    </row>
    <row r="16" spans="1:18">
      <c r="A16" s="18" t="s">
        <v>106</v>
      </c>
      <c r="B16" s="19" t="s">
        <v>107</v>
      </c>
      <c r="C16" s="20">
        <v>82500000</v>
      </c>
      <c r="D16" s="20"/>
      <c r="E16" s="20"/>
      <c r="F16" s="20">
        <f>9444544+86872</f>
        <v>9531416</v>
      </c>
      <c r="G16" s="20">
        <v>11742688</v>
      </c>
      <c r="H16" s="20">
        <f>7936501+3009084</f>
        <v>10945585</v>
      </c>
      <c r="I16" s="20">
        <f>14550257+397754</f>
        <v>14948011</v>
      </c>
      <c r="J16" s="20">
        <f>15446281+675284</f>
        <v>16121565</v>
      </c>
      <c r="K16" s="20">
        <f>27504683+890212</f>
        <v>28394895</v>
      </c>
      <c r="L16" s="20">
        <f>18706318+1012160</f>
        <v>19718478</v>
      </c>
      <c r="M16" s="20">
        <f>9110300+409328</f>
        <v>9519628</v>
      </c>
      <c r="N16" s="20">
        <v>13704078</v>
      </c>
      <c r="O16" s="20">
        <f>9034+11706700+3294066</f>
        <v>15009800</v>
      </c>
      <c r="P16" s="20">
        <f>6041471+639861</f>
        <v>6681332</v>
      </c>
      <c r="Q16" s="20">
        <f>6783017+2636083</f>
        <v>9419100</v>
      </c>
      <c r="R16" s="48">
        <f t="shared" si="2"/>
        <v>165736576</v>
      </c>
    </row>
    <row r="17" spans="1:18">
      <c r="A17" s="18" t="s">
        <v>108</v>
      </c>
      <c r="B17" s="19" t="s">
        <v>109</v>
      </c>
      <c r="C17" s="20">
        <v>38000000</v>
      </c>
      <c r="D17" s="20"/>
      <c r="E17" s="20"/>
      <c r="F17" s="20">
        <v>7743232</v>
      </c>
      <c r="G17" s="20">
        <v>5474707</v>
      </c>
      <c r="H17" s="20">
        <v>6896316</v>
      </c>
      <c r="I17" s="20">
        <v>1088892</v>
      </c>
      <c r="J17" s="20">
        <v>1270374</v>
      </c>
      <c r="K17" s="20">
        <v>1693832</v>
      </c>
      <c r="L17" s="20">
        <v>3629640</v>
      </c>
      <c r="M17" s="20">
        <v>3569146</v>
      </c>
      <c r="N17" s="20">
        <v>5686436</v>
      </c>
      <c r="O17" s="20">
        <v>4295074</v>
      </c>
      <c r="P17" s="20">
        <v>4718532</v>
      </c>
      <c r="Q17" s="20">
        <v>4022851</v>
      </c>
      <c r="R17" s="48">
        <f t="shared" si="2"/>
        <v>50089032</v>
      </c>
    </row>
    <row r="18" spans="1:18">
      <c r="A18" s="18" t="s">
        <v>110</v>
      </c>
      <c r="B18" s="19" t="s">
        <v>111</v>
      </c>
      <c r="C18" s="20">
        <v>5000000</v>
      </c>
      <c r="D18" s="20"/>
      <c r="E18" s="20"/>
      <c r="F18" s="20">
        <v>357704</v>
      </c>
      <c r="G18" s="20">
        <v>357704</v>
      </c>
      <c r="H18" s="20">
        <v>178852</v>
      </c>
      <c r="I18" s="20"/>
      <c r="J18" s="20"/>
      <c r="K18" s="20">
        <v>178852</v>
      </c>
      <c r="L18" s="20">
        <v>357704</v>
      </c>
      <c r="M18" s="20">
        <v>357704</v>
      </c>
      <c r="N18" s="20"/>
      <c r="O18" s="20">
        <v>89426</v>
      </c>
      <c r="P18" s="20">
        <v>178852</v>
      </c>
      <c r="Q18" s="20">
        <v>89426</v>
      </c>
      <c r="R18" s="48">
        <f t="shared" si="2"/>
        <v>2146224</v>
      </c>
    </row>
    <row r="19" spans="1:18">
      <c r="A19" s="18" t="s">
        <v>112</v>
      </c>
      <c r="B19" s="19" t="s">
        <v>113</v>
      </c>
      <c r="C19" s="20">
        <v>1000000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48">
        <f t="shared" si="2"/>
        <v>0</v>
      </c>
    </row>
    <row r="20" spans="1:18">
      <c r="A20" s="18" t="s">
        <v>114</v>
      </c>
      <c r="B20" s="19" t="s">
        <v>115</v>
      </c>
      <c r="C20" s="20">
        <v>1000000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48">
        <f t="shared" si="2"/>
        <v>0</v>
      </c>
    </row>
    <row r="21" spans="1:18">
      <c r="A21" s="18" t="s">
        <v>116</v>
      </c>
      <c r="B21" s="19" t="s">
        <v>117</v>
      </c>
      <c r="C21" s="20">
        <v>100000000</v>
      </c>
      <c r="D21" s="20"/>
      <c r="E21" s="20"/>
      <c r="F21" s="20">
        <f>699556</f>
        <v>699556</v>
      </c>
      <c r="G21" s="20">
        <f>825714</f>
        <v>825714</v>
      </c>
      <c r="H21" s="20">
        <v>531952</v>
      </c>
      <c r="I21" s="20"/>
      <c r="J21" s="20">
        <f>145671+105614</f>
        <v>251285</v>
      </c>
      <c r="K21" s="20">
        <f>224794+522960</f>
        <v>747754</v>
      </c>
      <c r="L21" s="20">
        <f>507191+628574</f>
        <v>1135765</v>
      </c>
      <c r="M21" s="20">
        <f>331098+201008</f>
        <v>532106</v>
      </c>
      <c r="N21" s="20">
        <v>569288</v>
      </c>
      <c r="O21" s="20">
        <v>596469</v>
      </c>
      <c r="P21" s="20">
        <v>474349</v>
      </c>
      <c r="Q21" s="20">
        <v>572529</v>
      </c>
      <c r="R21" s="48">
        <f t="shared" si="2"/>
        <v>6936767</v>
      </c>
    </row>
    <row r="22" spans="1:18">
      <c r="A22" s="18" t="s">
        <v>118</v>
      </c>
      <c r="B22" s="19" t="s">
        <v>119</v>
      </c>
      <c r="C22" s="20">
        <v>4000000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48">
        <f t="shared" si="2"/>
        <v>0</v>
      </c>
    </row>
    <row r="23" spans="1:18">
      <c r="A23" s="18" t="s">
        <v>120</v>
      </c>
      <c r="B23" s="19" t="s">
        <v>121</v>
      </c>
      <c r="C23" s="20">
        <v>200000000</v>
      </c>
      <c r="D23" s="20"/>
      <c r="E23" s="20"/>
      <c r="F23" s="20">
        <v>38676024</v>
      </c>
      <c r="G23" s="20">
        <v>42961357</v>
      </c>
      <c r="H23" s="20">
        <v>31851915</v>
      </c>
      <c r="I23" s="20"/>
      <c r="J23" s="20">
        <v>7788112</v>
      </c>
      <c r="K23" s="20">
        <v>22685088</v>
      </c>
      <c r="L23" s="20">
        <v>36943045</v>
      </c>
      <c r="M23" s="20">
        <v>26590244</v>
      </c>
      <c r="N23" s="20">
        <v>43681884</v>
      </c>
      <c r="O23" s="20">
        <v>47400058</v>
      </c>
      <c r="P23" s="20">
        <v>48657495</v>
      </c>
      <c r="Q23" s="20">
        <v>62490934</v>
      </c>
      <c r="R23" s="48">
        <f t="shared" si="2"/>
        <v>409726156</v>
      </c>
    </row>
    <row r="24" spans="1:18">
      <c r="A24" s="18" t="s">
        <v>122</v>
      </c>
      <c r="B24" s="19" t="s">
        <v>123</v>
      </c>
      <c r="C24" s="20">
        <v>18000000</v>
      </c>
      <c r="D24" s="20"/>
      <c r="E24" s="20"/>
      <c r="F24" s="20"/>
      <c r="G24" s="20"/>
      <c r="H24" s="20"/>
      <c r="I24" s="20"/>
      <c r="J24" s="20">
        <v>28241</v>
      </c>
      <c r="K24" s="20"/>
      <c r="L24" s="20"/>
      <c r="M24" s="20"/>
      <c r="N24" s="20"/>
      <c r="O24" s="20"/>
      <c r="P24" s="20"/>
      <c r="Q24" s="20"/>
      <c r="R24" s="48">
        <f t="shared" si="2"/>
        <v>28241</v>
      </c>
    </row>
    <row r="25" spans="1:18">
      <c r="A25" s="18" t="s">
        <v>124</v>
      </c>
      <c r="B25" s="19" t="s">
        <v>125</v>
      </c>
      <c r="C25" s="20">
        <v>1000000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48">
        <f t="shared" si="2"/>
        <v>0</v>
      </c>
    </row>
    <row r="26" spans="1:18">
      <c r="A26" s="18" t="s">
        <v>126</v>
      </c>
      <c r="B26" s="19" t="s">
        <v>127</v>
      </c>
      <c r="C26" s="20">
        <v>15000000</v>
      </c>
      <c r="D26" s="20"/>
      <c r="E26" s="20"/>
      <c r="F26" s="20">
        <v>2002395</v>
      </c>
      <c r="G26" s="20">
        <v>1334930</v>
      </c>
      <c r="H26" s="20">
        <v>1334930</v>
      </c>
      <c r="J26" s="20">
        <v>6407664</v>
      </c>
      <c r="K26" s="20">
        <v>1334930</v>
      </c>
      <c r="L26" s="20">
        <v>1601916</v>
      </c>
      <c r="M26" s="20">
        <v>1067944</v>
      </c>
      <c r="N26" s="20">
        <v>3203832</v>
      </c>
      <c r="O26" s="20">
        <v>3203832</v>
      </c>
      <c r="P26" s="20">
        <v>1201437</v>
      </c>
      <c r="Q26" s="20"/>
      <c r="R26" s="48">
        <f t="shared" si="2"/>
        <v>22693810</v>
      </c>
    </row>
    <row r="27" spans="1:18">
      <c r="A27" s="18" t="s">
        <v>128</v>
      </c>
      <c r="B27" s="16" t="s">
        <v>129</v>
      </c>
      <c r="C27" s="20">
        <v>30000000</v>
      </c>
      <c r="D27" s="20"/>
      <c r="E27" s="20"/>
      <c r="F27" s="20">
        <v>3221829</v>
      </c>
      <c r="G27" s="20">
        <f>3028419+273156+930104</f>
        <v>4231679</v>
      </c>
      <c r="H27" s="20">
        <f>1408834+2043474</f>
        <v>3452308</v>
      </c>
      <c r="I27" s="20">
        <f>54712+16068</f>
        <v>70780</v>
      </c>
      <c r="J27" s="20">
        <f>533442+708775</f>
        <v>1242217</v>
      </c>
      <c r="K27" s="20">
        <v>791580</v>
      </c>
      <c r="L27" s="20">
        <f>1528018+2133768</f>
        <v>3661786</v>
      </c>
      <c r="M27" s="20">
        <f>1066884+1261161</f>
        <v>2328045</v>
      </c>
      <c r="N27" s="20">
        <f>738612+1933052</f>
        <v>2671664</v>
      </c>
      <c r="O27" s="20">
        <v>2338132</v>
      </c>
      <c r="P27" s="20">
        <v>2135638</v>
      </c>
      <c r="Q27" s="20">
        <v>1923831</v>
      </c>
      <c r="R27" s="48">
        <f t="shared" si="2"/>
        <v>28069489</v>
      </c>
    </row>
    <row r="28" spans="1:18">
      <c r="A28" s="18" t="s">
        <v>130</v>
      </c>
      <c r="B28" s="16" t="s">
        <v>131</v>
      </c>
      <c r="C28" s="20">
        <v>1000000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48">
        <f t="shared" si="2"/>
        <v>0</v>
      </c>
    </row>
    <row r="29" spans="1:18">
      <c r="A29" s="18" t="s">
        <v>132</v>
      </c>
      <c r="B29" s="19" t="s">
        <v>229</v>
      </c>
      <c r="C29" s="20">
        <v>30000000</v>
      </c>
      <c r="D29" s="20"/>
      <c r="E29" s="20"/>
      <c r="F29" s="20">
        <v>680320</v>
      </c>
      <c r="G29" s="20">
        <v>612288</v>
      </c>
      <c r="H29" s="20">
        <v>680320</v>
      </c>
      <c r="I29" s="20"/>
      <c r="J29" s="20">
        <v>136064</v>
      </c>
      <c r="K29" s="20">
        <v>136064</v>
      </c>
      <c r="L29" s="20">
        <v>204096</v>
      </c>
      <c r="M29" s="20">
        <v>68032</v>
      </c>
      <c r="N29" s="20"/>
      <c r="O29" s="20">
        <v>204096</v>
      </c>
      <c r="P29" s="20">
        <v>272128</v>
      </c>
      <c r="Q29" s="20">
        <v>136064</v>
      </c>
      <c r="R29" s="48">
        <f t="shared" si="2"/>
        <v>3129472</v>
      </c>
    </row>
    <row r="30" spans="1:18">
      <c r="A30" s="18" t="s">
        <v>133</v>
      </c>
      <c r="B30" s="19" t="s">
        <v>135</v>
      </c>
      <c r="C30" s="20">
        <v>6000000</v>
      </c>
      <c r="D30" s="20"/>
      <c r="E30" s="20"/>
      <c r="F30" s="20">
        <v>102277</v>
      </c>
      <c r="G30" s="20">
        <v>196035</v>
      </c>
      <c r="H30" s="20">
        <v>111612</v>
      </c>
      <c r="I30" s="20"/>
      <c r="J30" s="20">
        <v>46675</v>
      </c>
      <c r="K30" s="20">
        <v>93350</v>
      </c>
      <c r="L30" s="20">
        <v>130282</v>
      </c>
      <c r="M30" s="20">
        <v>124799</v>
      </c>
      <c r="N30" s="20">
        <v>152804</v>
      </c>
      <c r="O30" s="20">
        <v>251841</v>
      </c>
      <c r="P30" s="20">
        <v>196035</v>
      </c>
      <c r="Q30" s="20">
        <v>205370</v>
      </c>
      <c r="R30" s="48">
        <f t="shared" si="2"/>
        <v>1611080</v>
      </c>
    </row>
    <row r="31" spans="1:18">
      <c r="A31" s="18" t="s">
        <v>134</v>
      </c>
      <c r="B31" s="19" t="s">
        <v>137</v>
      </c>
      <c r="C31" s="20">
        <v>7000000</v>
      </c>
      <c r="D31" s="20"/>
      <c r="E31" s="20"/>
      <c r="F31" s="20">
        <v>5434074</v>
      </c>
      <c r="G31" s="20">
        <v>5941308</v>
      </c>
      <c r="H31" s="20">
        <v>4073250</v>
      </c>
      <c r="I31" s="20"/>
      <c r="J31" s="20">
        <v>760340</v>
      </c>
      <c r="K31" s="20">
        <v>3204290</v>
      </c>
      <c r="L31" s="20">
        <v>5434074</v>
      </c>
      <c r="M31" s="20">
        <v>3530150</v>
      </c>
      <c r="N31" s="20">
        <v>5648240</v>
      </c>
      <c r="O31" s="20">
        <v>6469038</v>
      </c>
      <c r="P31" s="20">
        <v>5868554</v>
      </c>
      <c r="Q31" s="20">
        <v>7494780</v>
      </c>
      <c r="R31" s="48">
        <f t="shared" si="2"/>
        <v>53858098</v>
      </c>
    </row>
    <row r="32" spans="1:18">
      <c r="A32" s="18" t="s">
        <v>136</v>
      </c>
      <c r="B32" s="19" t="s">
        <v>139</v>
      </c>
      <c r="C32" s="20">
        <v>6000000</v>
      </c>
      <c r="D32" s="20"/>
      <c r="E32" s="20"/>
      <c r="F32" s="20">
        <v>1757592</v>
      </c>
      <c r="G32" s="20">
        <v>2782854</v>
      </c>
      <c r="H32" s="20">
        <v>1464660</v>
      </c>
      <c r="I32" s="20"/>
      <c r="J32" s="20">
        <v>292932</v>
      </c>
      <c r="K32" s="20">
        <v>1098495</v>
      </c>
      <c r="L32" s="20">
        <v>1537893</v>
      </c>
      <c r="M32" s="20">
        <v>366165</v>
      </c>
      <c r="N32" s="20">
        <v>952029</v>
      </c>
      <c r="O32" s="20">
        <v>2563155</v>
      </c>
      <c r="P32" s="20">
        <v>1757592</v>
      </c>
      <c r="Q32" s="20">
        <v>1464660</v>
      </c>
      <c r="R32" s="48">
        <f t="shared" si="2"/>
        <v>16038027</v>
      </c>
    </row>
    <row r="33" spans="1:18">
      <c r="A33" s="18" t="s">
        <v>138</v>
      </c>
      <c r="B33" s="19" t="s">
        <v>141</v>
      </c>
      <c r="C33" s="20">
        <v>250000</v>
      </c>
      <c r="D33" s="20"/>
      <c r="E33" s="20"/>
      <c r="F33" s="20">
        <v>20095</v>
      </c>
      <c r="G33" s="20">
        <v>57057</v>
      </c>
      <c r="H33" s="20">
        <v>19019</v>
      </c>
      <c r="I33" s="20"/>
      <c r="J33" s="20"/>
      <c r="K33" s="20">
        <v>95095</v>
      </c>
      <c r="L33" s="20">
        <v>57057</v>
      </c>
      <c r="M33" s="20">
        <v>95095</v>
      </c>
      <c r="N33" s="20">
        <v>38038</v>
      </c>
      <c r="O33" s="20">
        <v>57057</v>
      </c>
      <c r="P33" s="20">
        <v>57057</v>
      </c>
      <c r="Q33" s="20">
        <v>19019</v>
      </c>
      <c r="R33" s="48">
        <f t="shared" si="2"/>
        <v>514589</v>
      </c>
    </row>
    <row r="34" spans="1:18">
      <c r="A34" s="18" t="s">
        <v>140</v>
      </c>
      <c r="B34" s="19" t="s">
        <v>143</v>
      </c>
      <c r="C34" s="20">
        <v>5000000</v>
      </c>
      <c r="D34" s="20"/>
      <c r="E34" s="20"/>
      <c r="F34" s="20">
        <v>938041</v>
      </c>
      <c r="G34" s="20">
        <v>1201786</v>
      </c>
      <c r="H34" s="20">
        <v>678826</v>
      </c>
      <c r="I34" s="20"/>
      <c r="J34" s="20"/>
      <c r="K34" s="20"/>
      <c r="L34" s="20"/>
      <c r="M34" s="20"/>
      <c r="N34" s="20"/>
      <c r="O34" s="20"/>
      <c r="P34" s="20"/>
      <c r="Q34" s="20"/>
      <c r="R34" s="48">
        <f t="shared" si="2"/>
        <v>2818653</v>
      </c>
    </row>
    <row r="35" spans="1:18">
      <c r="A35" s="18" t="s">
        <v>142</v>
      </c>
      <c r="B35" s="19" t="s">
        <v>145</v>
      </c>
      <c r="C35" s="20">
        <v>110000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48">
        <f t="shared" si="2"/>
        <v>0</v>
      </c>
    </row>
    <row r="36" spans="1:18">
      <c r="A36" s="18" t="s">
        <v>144</v>
      </c>
      <c r="B36" s="19" t="s">
        <v>147</v>
      </c>
      <c r="C36" s="20">
        <v>1000000</v>
      </c>
      <c r="D36" s="20"/>
      <c r="E36" s="20"/>
      <c r="F36" s="20">
        <v>87732</v>
      </c>
      <c r="G36" s="20">
        <v>58488</v>
      </c>
      <c r="H36" s="20">
        <v>58488</v>
      </c>
      <c r="I36" s="20"/>
      <c r="J36" s="20">
        <v>29244</v>
      </c>
      <c r="K36" s="20">
        <v>58488</v>
      </c>
      <c r="L36" s="20">
        <v>146220</v>
      </c>
      <c r="M36" s="20">
        <v>116976</v>
      </c>
      <c r="N36" s="20">
        <v>87732</v>
      </c>
      <c r="O36" s="20">
        <v>87732</v>
      </c>
      <c r="P36" s="20">
        <v>125770</v>
      </c>
      <c r="Q36" s="20">
        <v>194483</v>
      </c>
      <c r="R36" s="48">
        <f t="shared" si="2"/>
        <v>1051353</v>
      </c>
    </row>
    <row r="37" spans="1:18">
      <c r="A37" s="18" t="s">
        <v>146</v>
      </c>
      <c r="B37" s="19" t="s">
        <v>149</v>
      </c>
      <c r="C37" s="20">
        <v>3850000</v>
      </c>
      <c r="D37" s="20"/>
      <c r="E37" s="20"/>
      <c r="F37" s="20"/>
      <c r="G37" s="20">
        <v>91096</v>
      </c>
      <c r="H37" s="20"/>
      <c r="I37" s="20"/>
      <c r="J37" s="20"/>
      <c r="K37" s="20">
        <v>182192</v>
      </c>
      <c r="L37" s="20"/>
      <c r="M37" s="20">
        <v>91096</v>
      </c>
      <c r="N37" s="20">
        <v>273288</v>
      </c>
      <c r="O37" s="20">
        <v>273288</v>
      </c>
      <c r="P37" s="20">
        <v>91096</v>
      </c>
      <c r="Q37" s="20">
        <v>273288</v>
      </c>
      <c r="R37" s="48">
        <f t="shared" si="2"/>
        <v>1275344</v>
      </c>
    </row>
    <row r="38" spans="1:18">
      <c r="A38" s="18" t="s">
        <v>148</v>
      </c>
      <c r="B38" s="19" t="s">
        <v>151</v>
      </c>
      <c r="C38" s="20">
        <v>2500000</v>
      </c>
      <c r="D38" s="20"/>
      <c r="E38" s="20"/>
      <c r="F38" s="20">
        <v>162508</v>
      </c>
      <c r="G38" s="20">
        <v>325016</v>
      </c>
      <c r="H38" s="20">
        <v>162508</v>
      </c>
      <c r="I38" s="20"/>
      <c r="J38" s="20">
        <v>81254</v>
      </c>
      <c r="K38" s="20">
        <v>243762</v>
      </c>
      <c r="L38" s="20">
        <v>325016</v>
      </c>
      <c r="M38" s="20">
        <v>325016</v>
      </c>
      <c r="N38" s="20">
        <v>243762</v>
      </c>
      <c r="O38" s="20">
        <v>325016</v>
      </c>
      <c r="P38" s="20">
        <v>406270</v>
      </c>
      <c r="Q38" s="20">
        <v>1056302</v>
      </c>
      <c r="R38" s="48">
        <f t="shared" si="2"/>
        <v>3656430</v>
      </c>
    </row>
    <row r="39" spans="1:18">
      <c r="A39" s="18" t="s">
        <v>150</v>
      </c>
      <c r="B39" s="19" t="s">
        <v>153</v>
      </c>
      <c r="C39" s="20">
        <v>500000</v>
      </c>
      <c r="D39" s="20"/>
      <c r="E39" s="20"/>
      <c r="F39" s="20"/>
      <c r="G39" s="20">
        <v>146385</v>
      </c>
      <c r="H39" s="20">
        <v>243975</v>
      </c>
      <c r="I39" s="20"/>
      <c r="J39" s="20"/>
      <c r="K39" s="20"/>
      <c r="L39" s="20">
        <v>48795</v>
      </c>
      <c r="M39" s="20">
        <v>48795</v>
      </c>
      <c r="N39" s="20"/>
      <c r="O39" s="20">
        <v>48795</v>
      </c>
      <c r="P39" s="20">
        <v>48795</v>
      </c>
      <c r="Q39" s="20">
        <v>48795</v>
      </c>
      <c r="R39" s="48">
        <f t="shared" si="2"/>
        <v>634335</v>
      </c>
    </row>
    <row r="40" spans="1:18">
      <c r="A40" s="18" t="s">
        <v>152</v>
      </c>
      <c r="B40" s="19" t="s">
        <v>155</v>
      </c>
      <c r="C40" s="20">
        <v>3500000</v>
      </c>
      <c r="D40" s="20"/>
      <c r="E40" s="20"/>
      <c r="F40" s="20">
        <v>183968</v>
      </c>
      <c r="G40" s="20">
        <v>275952</v>
      </c>
      <c r="H40" s="20">
        <v>551904</v>
      </c>
      <c r="I40" s="20"/>
      <c r="J40" s="20">
        <v>459920</v>
      </c>
      <c r="K40" s="20">
        <v>91984</v>
      </c>
      <c r="L40" s="20">
        <v>183968</v>
      </c>
      <c r="M40" s="20">
        <v>183968</v>
      </c>
      <c r="N40" s="20">
        <v>183968</v>
      </c>
      <c r="O40" s="20">
        <v>183968</v>
      </c>
      <c r="P40" s="20">
        <v>91984</v>
      </c>
      <c r="Q40" s="20">
        <v>91984</v>
      </c>
      <c r="R40" s="48">
        <f t="shared" si="2"/>
        <v>2483568</v>
      </c>
    </row>
    <row r="41" spans="1:18">
      <c r="A41" s="18" t="s">
        <v>154</v>
      </c>
      <c r="B41" s="19" t="s">
        <v>157</v>
      </c>
      <c r="C41" s="20">
        <v>1200000</v>
      </c>
      <c r="D41" s="20"/>
      <c r="E41" s="20"/>
      <c r="F41" s="20">
        <v>145712</v>
      </c>
      <c r="G41" s="20">
        <v>36428</v>
      </c>
      <c r="H41" s="20">
        <v>109284</v>
      </c>
      <c r="I41" s="20"/>
      <c r="J41" s="20">
        <v>36428</v>
      </c>
      <c r="K41" s="20">
        <v>36428</v>
      </c>
      <c r="L41" s="20"/>
      <c r="M41" s="20"/>
      <c r="N41" s="20">
        <v>72856</v>
      </c>
      <c r="O41" s="20">
        <v>36428</v>
      </c>
      <c r="P41" s="20"/>
      <c r="Q41" s="20">
        <v>36428</v>
      </c>
      <c r="R41" s="48">
        <f t="shared" si="2"/>
        <v>509992</v>
      </c>
    </row>
    <row r="42" spans="1:18">
      <c r="A42" s="18" t="s">
        <v>156</v>
      </c>
      <c r="B42" s="19" t="s">
        <v>159</v>
      </c>
      <c r="C42" s="20">
        <v>1000000</v>
      </c>
      <c r="D42" s="20"/>
      <c r="E42" s="20"/>
      <c r="F42" s="34">
        <v>3081108</v>
      </c>
      <c r="G42" s="20">
        <v>3354037</v>
      </c>
      <c r="H42" s="20">
        <f>2418915+413751</f>
        <v>2832666</v>
      </c>
      <c r="I42" s="20">
        <f>3584072+610584</f>
        <v>4194656</v>
      </c>
      <c r="J42" s="20">
        <f>570414+156663</f>
        <v>727077</v>
      </c>
      <c r="K42" s="20">
        <f>341265+1614834+437853+295763</f>
        <v>2689715</v>
      </c>
      <c r="L42" s="20">
        <v>2683810</v>
      </c>
      <c r="M42" s="20">
        <f>1847820+313326+250261</f>
        <v>2411407</v>
      </c>
      <c r="N42" s="20">
        <f>136506+3137277+4017+216918</f>
        <v>3494718</v>
      </c>
      <c r="O42" s="20">
        <f>3580055+386767</f>
        <v>3966822</v>
      </c>
      <c r="P42" s="20">
        <f>3483193+341265</f>
        <v>3824458</v>
      </c>
      <c r="Q42" s="20">
        <f>4483880+409518</f>
        <v>4893398</v>
      </c>
      <c r="R42" s="48">
        <f t="shared" si="2"/>
        <v>38153872</v>
      </c>
    </row>
    <row r="43" spans="1:18">
      <c r="A43" s="18" t="s">
        <v>158</v>
      </c>
      <c r="B43" s="19" t="s">
        <v>161</v>
      </c>
      <c r="C43" s="20">
        <v>77000000</v>
      </c>
      <c r="D43" s="20"/>
      <c r="E43" s="20"/>
      <c r="F43" s="20">
        <v>2698754</v>
      </c>
      <c r="G43" s="20">
        <v>4235897</v>
      </c>
      <c r="H43" s="20">
        <v>2078965</v>
      </c>
      <c r="I43" s="20"/>
      <c r="J43" s="20">
        <v>1756704</v>
      </c>
      <c r="K43" s="20">
        <v>8111247</v>
      </c>
      <c r="L43" s="20">
        <v>7895462</v>
      </c>
      <c r="M43" s="20">
        <v>758945</v>
      </c>
      <c r="N43" s="20">
        <v>987542</v>
      </c>
      <c r="O43" s="20">
        <v>1458796</v>
      </c>
      <c r="P43" s="20">
        <v>1821684</v>
      </c>
      <c r="Q43" s="20">
        <v>4128975</v>
      </c>
      <c r="R43" s="48">
        <f t="shared" si="2"/>
        <v>35932971</v>
      </c>
    </row>
    <row r="44" spans="1:18">
      <c r="A44" s="18" t="s">
        <v>160</v>
      </c>
      <c r="B44" s="19" t="s">
        <v>163</v>
      </c>
      <c r="C44" s="20">
        <v>40000000</v>
      </c>
      <c r="D44" s="20"/>
      <c r="E44" s="20"/>
      <c r="F44" s="20">
        <v>1735485</v>
      </c>
      <c r="G44" s="20">
        <v>3600495</v>
      </c>
      <c r="H44" s="20">
        <f>1494150+50961</f>
        <v>1545111</v>
      </c>
      <c r="I44" s="20"/>
      <c r="J44" s="20">
        <v>936875</v>
      </c>
      <c r="K44" s="20">
        <v>2973075</v>
      </c>
      <c r="L44" s="20">
        <v>3403838</v>
      </c>
      <c r="M44" s="20">
        <v>285504</v>
      </c>
      <c r="N44" s="20">
        <v>386733</v>
      </c>
      <c r="O44" s="20">
        <f>856035+50961</f>
        <v>906996</v>
      </c>
      <c r="P44" s="20">
        <f>932915+101922</f>
        <v>1034837</v>
      </c>
      <c r="Q44" s="20">
        <v>2240022</v>
      </c>
      <c r="R44" s="48">
        <f t="shared" si="2"/>
        <v>19048971</v>
      </c>
    </row>
    <row r="45" spans="1:18">
      <c r="A45" s="18" t="s">
        <v>162</v>
      </c>
      <c r="B45" s="19" t="s">
        <v>165</v>
      </c>
      <c r="C45" s="20">
        <v>15000000</v>
      </c>
      <c r="D45" s="20"/>
      <c r="E45" s="20"/>
      <c r="F45" s="20">
        <v>858110</v>
      </c>
      <c r="G45" s="20">
        <v>1213190</v>
      </c>
      <c r="H45" s="20">
        <v>562210</v>
      </c>
      <c r="I45" s="20">
        <v>414260</v>
      </c>
      <c r="J45" s="20"/>
      <c r="K45" s="20">
        <v>443850</v>
      </c>
      <c r="L45" s="20">
        <v>414260</v>
      </c>
      <c r="M45" s="20">
        <v>325490</v>
      </c>
      <c r="N45" s="20">
        <v>177540</v>
      </c>
      <c r="O45" s="20">
        <v>503030</v>
      </c>
      <c r="P45" s="20">
        <v>443850</v>
      </c>
      <c r="Q45" s="20">
        <v>591800</v>
      </c>
      <c r="R45" s="48">
        <f t="shared" si="2"/>
        <v>5947590</v>
      </c>
    </row>
    <row r="46" spans="1:18">
      <c r="A46" s="18" t="s">
        <v>164</v>
      </c>
      <c r="B46" s="19" t="s">
        <v>167</v>
      </c>
      <c r="C46" s="20">
        <v>15000000</v>
      </c>
      <c r="D46" s="20"/>
      <c r="E46" s="20"/>
      <c r="F46" s="20">
        <v>3137340</v>
      </c>
      <c r="G46" s="20">
        <f>254+2760448</f>
        <v>2760702</v>
      </c>
      <c r="H46" s="20">
        <f>381+1944096</f>
        <v>1944477</v>
      </c>
      <c r="I46" s="20"/>
      <c r="J46" s="20"/>
      <c r="K46" s="20">
        <v>1490902</v>
      </c>
      <c r="L46" s="20"/>
      <c r="M46" s="20">
        <v>504960</v>
      </c>
      <c r="N46" s="20">
        <v>1199280</v>
      </c>
      <c r="O46" s="20">
        <v>652240</v>
      </c>
      <c r="P46" s="20">
        <v>938384</v>
      </c>
      <c r="Q46" s="20">
        <v>2659456</v>
      </c>
      <c r="R46" s="48">
        <f t="shared" si="2"/>
        <v>15287741</v>
      </c>
    </row>
    <row r="47" spans="1:18">
      <c r="A47" s="18" t="s">
        <v>166</v>
      </c>
      <c r="B47" s="19" t="s">
        <v>169</v>
      </c>
      <c r="C47" s="20">
        <v>1000000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48">
        <f t="shared" si="2"/>
        <v>0</v>
      </c>
    </row>
    <row r="48" spans="1:18">
      <c r="A48" s="18" t="s">
        <v>168</v>
      </c>
      <c r="B48" s="19" t="s">
        <v>171</v>
      </c>
      <c r="C48" s="20">
        <v>1000000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48">
        <f t="shared" si="2"/>
        <v>0</v>
      </c>
    </row>
    <row r="49" spans="1:19">
      <c r="A49" s="18" t="s">
        <v>170</v>
      </c>
      <c r="B49" s="19" t="s">
        <v>173</v>
      </c>
      <c r="C49" s="20">
        <v>10000000</v>
      </c>
      <c r="D49" s="20"/>
      <c r="E49" s="20"/>
      <c r="F49" s="20">
        <v>659779</v>
      </c>
      <c r="G49" s="20">
        <v>932791</v>
      </c>
      <c r="H49" s="20">
        <v>409518</v>
      </c>
      <c r="I49" s="20"/>
      <c r="J49" s="20"/>
      <c r="K49" s="20"/>
      <c r="L49" s="20"/>
      <c r="M49" s="20"/>
      <c r="N49" s="20"/>
      <c r="O49" s="20"/>
      <c r="P49" s="20"/>
      <c r="Q49" s="20"/>
      <c r="R49" s="48">
        <f t="shared" si="2"/>
        <v>2002088</v>
      </c>
    </row>
    <row r="50" spans="1:19">
      <c r="A50" s="18" t="s">
        <v>172</v>
      </c>
      <c r="B50" s="19" t="s">
        <v>175</v>
      </c>
      <c r="C50" s="20">
        <v>1000000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48">
        <f t="shared" si="2"/>
        <v>0</v>
      </c>
    </row>
    <row r="51" spans="1:19">
      <c r="A51" s="18" t="s">
        <v>174</v>
      </c>
      <c r="B51" s="19" t="s">
        <v>177</v>
      </c>
      <c r="C51" s="20">
        <v>1000000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48">
        <f t="shared" si="2"/>
        <v>0</v>
      </c>
    </row>
    <row r="52" spans="1:19">
      <c r="A52" s="18" t="s">
        <v>176</v>
      </c>
      <c r="B52" s="19" t="s">
        <v>179</v>
      </c>
      <c r="C52" s="20">
        <v>1000000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48">
        <f t="shared" si="2"/>
        <v>0</v>
      </c>
    </row>
    <row r="53" spans="1:19">
      <c r="A53" s="18" t="s">
        <v>178</v>
      </c>
      <c r="B53" s="19" t="s">
        <v>181</v>
      </c>
      <c r="C53" s="20">
        <v>1000000</v>
      </c>
      <c r="D53" s="20"/>
      <c r="E53" s="20"/>
      <c r="F53" s="20">
        <v>82194</v>
      </c>
      <c r="G53" s="20">
        <v>164388</v>
      </c>
      <c r="H53" s="20">
        <v>246582</v>
      </c>
      <c r="I53" s="20"/>
      <c r="J53" s="20"/>
      <c r="K53" s="20">
        <v>82194</v>
      </c>
      <c r="L53" s="20"/>
      <c r="M53" s="20">
        <v>164388</v>
      </c>
      <c r="N53" s="20">
        <v>82194</v>
      </c>
      <c r="O53" s="20">
        <v>328776</v>
      </c>
      <c r="P53" s="20">
        <v>246582</v>
      </c>
      <c r="Q53" s="20">
        <v>410970</v>
      </c>
      <c r="R53" s="48">
        <f t="shared" si="2"/>
        <v>1808268</v>
      </c>
    </row>
    <row r="54" spans="1:19">
      <c r="A54" s="18" t="s">
        <v>180</v>
      </c>
      <c r="B54" s="19" t="s">
        <v>183</v>
      </c>
      <c r="C54" s="20">
        <v>1000000</v>
      </c>
      <c r="D54" s="20"/>
      <c r="E54" s="20"/>
      <c r="F54" s="20">
        <v>36792</v>
      </c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48">
        <f t="shared" si="2"/>
        <v>36792</v>
      </c>
    </row>
    <row r="55" spans="1:19">
      <c r="A55" s="18" t="s">
        <v>182</v>
      </c>
      <c r="B55" s="19" t="s">
        <v>185</v>
      </c>
      <c r="C55" s="20">
        <v>1000000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48">
        <f t="shared" si="2"/>
        <v>0</v>
      </c>
    </row>
    <row r="56" spans="1:19">
      <c r="A56" s="18" t="s">
        <v>184</v>
      </c>
      <c r="B56" s="19" t="s">
        <v>187</v>
      </c>
      <c r="C56" s="20">
        <v>1000000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48">
        <f t="shared" si="2"/>
        <v>0</v>
      </c>
    </row>
    <row r="57" spans="1:19">
      <c r="A57" s="18" t="s">
        <v>186</v>
      </c>
      <c r="B57" s="19" t="s">
        <v>189</v>
      </c>
      <c r="C57" s="20">
        <v>100000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>
        <v>101922</v>
      </c>
      <c r="O57" s="20"/>
      <c r="P57" s="20"/>
      <c r="Q57" s="20"/>
      <c r="R57" s="48">
        <f t="shared" si="2"/>
        <v>101922</v>
      </c>
    </row>
    <row r="58" spans="1:19">
      <c r="A58" s="18" t="s">
        <v>188</v>
      </c>
      <c r="B58" s="19" t="s">
        <v>191</v>
      </c>
      <c r="C58" s="20">
        <v>100000</v>
      </c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48">
        <f t="shared" si="2"/>
        <v>0</v>
      </c>
    </row>
    <row r="59" spans="1:19">
      <c r="A59" s="18" t="s">
        <v>190</v>
      </c>
      <c r="B59" s="19" t="s">
        <v>193</v>
      </c>
      <c r="C59" s="20">
        <v>100000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48">
        <f t="shared" si="2"/>
        <v>0</v>
      </c>
    </row>
    <row r="60" spans="1:19">
      <c r="A60" s="18" t="s">
        <v>192</v>
      </c>
      <c r="B60" s="19" t="s">
        <v>194</v>
      </c>
      <c r="C60" s="20">
        <v>1000000</v>
      </c>
      <c r="D60" s="20"/>
      <c r="E60" s="20"/>
      <c r="F60" s="20">
        <v>79345</v>
      </c>
      <c r="G60" s="20">
        <v>79345</v>
      </c>
      <c r="H60" s="20">
        <v>79345</v>
      </c>
      <c r="I60" s="20"/>
      <c r="J60" s="20"/>
      <c r="K60" s="20"/>
      <c r="L60" s="20"/>
      <c r="M60" s="20">
        <v>158690</v>
      </c>
      <c r="N60" s="20">
        <v>238035</v>
      </c>
      <c r="O60" s="20">
        <v>317380</v>
      </c>
      <c r="P60" s="20">
        <v>317380</v>
      </c>
      <c r="Q60" s="20">
        <v>317380</v>
      </c>
      <c r="R60" s="48">
        <f t="shared" si="2"/>
        <v>1586900</v>
      </c>
    </row>
    <row r="61" spans="1:19">
      <c r="A61" s="18" t="s">
        <v>230</v>
      </c>
      <c r="B61" s="19" t="s">
        <v>196</v>
      </c>
      <c r="C61" s="20">
        <v>300000</v>
      </c>
      <c r="D61" s="20"/>
      <c r="E61" s="20"/>
      <c r="F61" s="20"/>
      <c r="G61" s="20"/>
      <c r="H61" s="20"/>
      <c r="I61" s="20"/>
      <c r="J61" s="20"/>
      <c r="K61" s="20">
        <v>46122</v>
      </c>
      <c r="L61" s="20"/>
      <c r="M61" s="20"/>
      <c r="N61" s="20"/>
      <c r="O61" s="20"/>
      <c r="P61" s="20"/>
      <c r="Q61" s="20"/>
      <c r="R61" s="48">
        <f t="shared" si="2"/>
        <v>46122</v>
      </c>
    </row>
    <row r="62" spans="1:19">
      <c r="A62" s="18" t="s">
        <v>195</v>
      </c>
      <c r="B62" s="19" t="s">
        <v>198</v>
      </c>
      <c r="C62" s="20">
        <v>100000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48">
        <f t="shared" si="2"/>
        <v>0</v>
      </c>
      <c r="S62" s="57"/>
    </row>
    <row r="63" spans="1:19">
      <c r="A63" s="18" t="s">
        <v>197</v>
      </c>
      <c r="B63" s="19" t="s">
        <v>200</v>
      </c>
      <c r="C63" s="20">
        <v>100000</v>
      </c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48">
        <f t="shared" si="2"/>
        <v>0</v>
      </c>
    </row>
    <row r="64" spans="1:19">
      <c r="A64" s="18" t="s">
        <v>199</v>
      </c>
      <c r="B64" s="19" t="s">
        <v>202</v>
      </c>
      <c r="C64" s="20">
        <v>100000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48">
        <f t="shared" si="2"/>
        <v>0</v>
      </c>
    </row>
    <row r="65" spans="1:19">
      <c r="A65" s="18" t="s">
        <v>201</v>
      </c>
      <c r="B65" s="19" t="s">
        <v>204</v>
      </c>
      <c r="C65" s="20">
        <v>100000</v>
      </c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48">
        <f t="shared" si="2"/>
        <v>0</v>
      </c>
    </row>
    <row r="66" spans="1:19">
      <c r="A66" s="18" t="s">
        <v>203</v>
      </c>
      <c r="B66" s="19" t="s">
        <v>206</v>
      </c>
      <c r="C66" s="20">
        <v>2000000000</v>
      </c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>
        <v>103500000</v>
      </c>
      <c r="R66" s="48">
        <f t="shared" si="2"/>
        <v>103500000</v>
      </c>
    </row>
    <row r="67" spans="1:19">
      <c r="A67" s="18" t="s">
        <v>205</v>
      </c>
      <c r="B67" s="19" t="s">
        <v>208</v>
      </c>
      <c r="C67" s="20">
        <v>100000</v>
      </c>
      <c r="D67" s="20"/>
      <c r="E67" s="20"/>
      <c r="F67" s="20"/>
      <c r="G67" s="20">
        <v>27880</v>
      </c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48">
        <f t="shared" si="2"/>
        <v>27880</v>
      </c>
    </row>
    <row r="68" spans="1:19">
      <c r="A68" s="18" t="s">
        <v>207</v>
      </c>
      <c r="B68" s="19" t="s">
        <v>210</v>
      </c>
      <c r="C68" s="20">
        <v>15000000</v>
      </c>
      <c r="D68" s="20"/>
      <c r="E68" s="20"/>
      <c r="F68" s="20">
        <v>4010004</v>
      </c>
      <c r="G68" s="20">
        <v>2935784</v>
      </c>
      <c r="H68" s="20">
        <v>1294858</v>
      </c>
      <c r="I68" s="20">
        <v>125430</v>
      </c>
      <c r="J68" s="20">
        <v>865170</v>
      </c>
      <c r="K68" s="20">
        <f>1682736+1755608</f>
        <v>3438344</v>
      </c>
      <c r="L68" s="20">
        <v>1724546</v>
      </c>
      <c r="M68" s="20">
        <v>3114612</v>
      </c>
      <c r="N68" s="20">
        <v>2888180</v>
      </c>
      <c r="O68" s="20">
        <v>2631526</v>
      </c>
      <c r="P68" s="20">
        <v>6175826</v>
      </c>
      <c r="Q68" s="20">
        <v>4666124</v>
      </c>
      <c r="R68" s="48">
        <f t="shared" si="2"/>
        <v>33870404</v>
      </c>
    </row>
    <row r="69" spans="1:19">
      <c r="A69" s="18" t="s">
        <v>209</v>
      </c>
      <c r="B69" s="19" t="s">
        <v>211</v>
      </c>
      <c r="C69" s="20">
        <v>9000000</v>
      </c>
      <c r="D69" s="20"/>
      <c r="E69" s="20"/>
      <c r="F69" s="20">
        <v>3717838</v>
      </c>
      <c r="G69" s="20">
        <f>3898328+3511216</f>
        <v>7409544</v>
      </c>
      <c r="H69" s="20">
        <f>2615961+3511216</f>
        <v>6127177</v>
      </c>
      <c r="I69" s="20">
        <v>2384530</v>
      </c>
      <c r="J69" s="20">
        <f>3650327+2039081+815636+3047010+2612033</f>
        <v>12164087</v>
      </c>
      <c r="K69" s="20">
        <f>26320942+3208920</f>
        <v>29529862</v>
      </c>
      <c r="L69" s="20">
        <f>3373709+1755608</f>
        <v>5129317</v>
      </c>
      <c r="M69" s="20">
        <v>1893477</v>
      </c>
      <c r="N69" s="20">
        <f>3209681+1096172</f>
        <v>4305853</v>
      </c>
      <c r="O69" s="20">
        <f>2079056+3483429+610584+1463266+1755608</f>
        <v>9391943</v>
      </c>
      <c r="P69" s="20">
        <f>2995482+3127856+879723+673716+3511216</f>
        <v>11187993</v>
      </c>
      <c r="Q69" s="20">
        <f>2393650+3643619+702975+1064258+877804</f>
        <v>8682306</v>
      </c>
      <c r="R69" s="48">
        <f t="shared" si="2"/>
        <v>101923927</v>
      </c>
    </row>
    <row r="70" spans="1:19">
      <c r="A70" s="15"/>
      <c r="B70" s="16" t="s">
        <v>212</v>
      </c>
      <c r="C70" s="17">
        <f t="shared" ref="C70:R70" si="3">C5+C7</f>
        <v>8500500000</v>
      </c>
      <c r="D70" s="17">
        <f t="shared" si="3"/>
        <v>0</v>
      </c>
      <c r="E70" s="17">
        <f t="shared" si="3"/>
        <v>0</v>
      </c>
      <c r="F70" s="17">
        <f t="shared" si="3"/>
        <v>398230474</v>
      </c>
      <c r="G70" s="17">
        <f t="shared" si="3"/>
        <v>520544756</v>
      </c>
      <c r="H70" s="17">
        <f t="shared" si="3"/>
        <v>376568504</v>
      </c>
      <c r="I70" s="17">
        <f t="shared" si="3"/>
        <v>333932288</v>
      </c>
      <c r="J70" s="17">
        <f t="shared" si="3"/>
        <v>204515255</v>
      </c>
      <c r="K70" s="17">
        <f t="shared" si="3"/>
        <v>454670733</v>
      </c>
      <c r="L70" s="17">
        <f t="shared" si="3"/>
        <v>508455338</v>
      </c>
      <c r="M70" s="17">
        <f t="shared" si="3"/>
        <v>260690391</v>
      </c>
      <c r="N70" s="17">
        <f t="shared" si="3"/>
        <v>334422939</v>
      </c>
      <c r="O70" s="17">
        <f t="shared" si="3"/>
        <v>368867242</v>
      </c>
      <c r="P70" s="17">
        <f t="shared" si="3"/>
        <v>352798782</v>
      </c>
      <c r="Q70" s="17">
        <f t="shared" si="3"/>
        <v>484531039</v>
      </c>
      <c r="R70" s="17">
        <f t="shared" si="3"/>
        <v>4598227741</v>
      </c>
      <c r="S70" s="70"/>
    </row>
    <row r="71" spans="1:19">
      <c r="A71" s="15">
        <v>2</v>
      </c>
      <c r="B71" s="21" t="s">
        <v>213</v>
      </c>
      <c r="C71" s="22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10"/>
      <c r="S71" s="70"/>
    </row>
    <row r="72" spans="1:19">
      <c r="A72" s="15">
        <v>2.1</v>
      </c>
      <c r="B72" s="16" t="s">
        <v>7</v>
      </c>
      <c r="C72" s="17">
        <v>0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10"/>
      <c r="S72" s="71"/>
    </row>
    <row r="73" spans="1:19">
      <c r="A73" s="15">
        <v>2.2000000000000002</v>
      </c>
      <c r="B73" s="16" t="s">
        <v>8</v>
      </c>
      <c r="C73" s="17">
        <v>10000000</v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10"/>
    </row>
    <row r="74" spans="1:19">
      <c r="A74" s="15">
        <v>2.2999999999999998</v>
      </c>
      <c r="B74" s="16" t="s">
        <v>9</v>
      </c>
      <c r="C74" s="17">
        <f t="shared" ref="C74:R74" si="4">+C75+C76+C77+C78</f>
        <v>3200000000</v>
      </c>
      <c r="D74" s="17">
        <f t="shared" si="4"/>
        <v>0</v>
      </c>
      <c r="E74" s="17">
        <f t="shared" si="4"/>
        <v>0</v>
      </c>
      <c r="F74" s="17">
        <f t="shared" si="4"/>
        <v>321626563</v>
      </c>
      <c r="G74" s="17">
        <f t="shared" si="4"/>
        <v>304190085</v>
      </c>
      <c r="H74" s="17">
        <f t="shared" si="4"/>
        <v>195666880</v>
      </c>
      <c r="I74" s="17">
        <f t="shared" si="4"/>
        <v>11897148</v>
      </c>
      <c r="J74" s="17">
        <f t="shared" si="4"/>
        <v>25729171</v>
      </c>
      <c r="K74" s="17">
        <f t="shared" si="4"/>
        <v>202023139</v>
      </c>
      <c r="L74" s="17">
        <f t="shared" si="4"/>
        <v>328658638</v>
      </c>
      <c r="M74" s="17">
        <f t="shared" si="4"/>
        <v>224304224</v>
      </c>
      <c r="N74" s="17">
        <f t="shared" si="4"/>
        <v>218004402</v>
      </c>
      <c r="O74" s="17">
        <f t="shared" si="4"/>
        <v>390192573</v>
      </c>
      <c r="P74" s="17">
        <f t="shared" si="4"/>
        <v>427686427</v>
      </c>
      <c r="Q74" s="17">
        <f t="shared" si="4"/>
        <v>520652424</v>
      </c>
      <c r="R74" s="17">
        <f t="shared" si="4"/>
        <v>3170631674</v>
      </c>
    </row>
    <row r="75" spans="1:19">
      <c r="A75" s="18" t="s">
        <v>214</v>
      </c>
      <c r="B75" s="19" t="s">
        <v>215</v>
      </c>
      <c r="C75" s="20">
        <v>1400000000</v>
      </c>
      <c r="D75" s="20"/>
      <c r="E75" s="20"/>
      <c r="F75" s="20">
        <f>158839+107182936+8308047</f>
        <v>115649822</v>
      </c>
      <c r="G75" s="20">
        <f>110146+105808454+6055425</f>
        <v>111974025</v>
      </c>
      <c r="H75" s="20">
        <f>107685+65728302+5743345</f>
        <v>71579332</v>
      </c>
      <c r="I75" s="52">
        <f>227+4118313+126913</f>
        <v>4245453</v>
      </c>
      <c r="J75" s="52">
        <f>3500+10833481+275478</f>
        <v>11112459</v>
      </c>
      <c r="K75" s="52">
        <f>120539+115955934+4510639</f>
        <v>120587112</v>
      </c>
      <c r="L75" s="52">
        <f>156734+161155249+8286364</f>
        <v>169598347</v>
      </c>
      <c r="M75" s="52">
        <f>61875+151881531+3936223</f>
        <v>155879629</v>
      </c>
      <c r="N75" s="52">
        <v>139238396</v>
      </c>
      <c r="O75" s="52">
        <f>225832502-108272271+144134123</f>
        <v>261694354</v>
      </c>
      <c r="P75" s="52">
        <f>118609979+95256704</f>
        <v>213866683</v>
      </c>
      <c r="Q75" s="52">
        <v>394171532</v>
      </c>
      <c r="R75" s="48">
        <f t="shared" ref="R75:R78" si="5">F75+G75+H75+I75+J75+K75+L75+M75+N75+O75+P75+Q75</f>
        <v>1769597144</v>
      </c>
    </row>
    <row r="76" spans="1:19">
      <c r="A76" s="18" t="s">
        <v>216</v>
      </c>
      <c r="B76" s="19" t="s">
        <v>217</v>
      </c>
      <c r="C76" s="20">
        <v>520000000</v>
      </c>
      <c r="D76" s="20"/>
      <c r="E76" s="20"/>
      <c r="F76" s="20">
        <f>67294730+32621222</f>
        <v>99915952</v>
      </c>
      <c r="G76" s="20">
        <f>57501203+33205605</f>
        <v>90706808</v>
      </c>
      <c r="H76" s="20">
        <f>34149603+23623018</f>
        <v>57772621</v>
      </c>
      <c r="I76" s="52">
        <v>2005216</v>
      </c>
      <c r="J76" s="52">
        <f>8521232</f>
        <v>8521232</v>
      </c>
      <c r="K76" s="52"/>
      <c r="L76" s="52"/>
      <c r="M76" s="52"/>
      <c r="N76" s="52"/>
      <c r="O76" s="52">
        <v>37604179</v>
      </c>
      <c r="P76" s="52">
        <f>20735239+145967489</f>
        <v>166702728</v>
      </c>
      <c r="Q76" s="52">
        <f>27802527+41239656</f>
        <v>69042183</v>
      </c>
      <c r="R76" s="48">
        <f t="shared" si="5"/>
        <v>532270919</v>
      </c>
    </row>
    <row r="77" spans="1:19">
      <c r="A77" s="18" t="s">
        <v>218</v>
      </c>
      <c r="B77" s="19" t="s">
        <v>219</v>
      </c>
      <c r="C77" s="20">
        <v>630000000</v>
      </c>
      <c r="D77" s="20"/>
      <c r="E77" s="20"/>
      <c r="F77" s="20">
        <v>57106900</v>
      </c>
      <c r="G77" s="20">
        <v>54873906</v>
      </c>
      <c r="H77" s="20">
        <v>37683895</v>
      </c>
      <c r="I77" s="52">
        <v>2270404</v>
      </c>
      <c r="J77" s="52">
        <v>6095480</v>
      </c>
      <c r="K77" s="52">
        <v>27350084</v>
      </c>
      <c r="L77" s="52">
        <v>93249701</v>
      </c>
      <c r="M77" s="52">
        <v>39834279</v>
      </c>
      <c r="N77" s="52">
        <f>66032896-N9</f>
        <v>48168373</v>
      </c>
      <c r="O77" s="52">
        <v>54879652</v>
      </c>
      <c r="P77" s="52">
        <v>29875642</v>
      </c>
      <c r="Q77" s="52">
        <v>37896542</v>
      </c>
      <c r="R77" s="48">
        <f t="shared" si="5"/>
        <v>489284858</v>
      </c>
    </row>
    <row r="78" spans="1:19">
      <c r="A78" s="18" t="s">
        <v>220</v>
      </c>
      <c r="B78" s="19" t="s">
        <v>221</v>
      </c>
      <c r="C78" s="20">
        <v>650000000</v>
      </c>
      <c r="D78" s="20"/>
      <c r="E78" s="20"/>
      <c r="F78" s="20">
        <v>48953889</v>
      </c>
      <c r="G78" s="20">
        <v>46635346</v>
      </c>
      <c r="H78" s="20">
        <v>28631032</v>
      </c>
      <c r="I78" s="52">
        <v>3376075</v>
      </c>
      <c r="K78" s="52">
        <f>54085943</f>
        <v>54085943</v>
      </c>
      <c r="L78" s="52">
        <v>65810590</v>
      </c>
      <c r="M78" s="52">
        <v>28590316</v>
      </c>
      <c r="N78" s="52">
        <v>30597633</v>
      </c>
      <c r="O78" s="20">
        <v>36014388</v>
      </c>
      <c r="P78" s="20">
        <v>17241374</v>
      </c>
      <c r="Q78" s="20">
        <v>19542167</v>
      </c>
      <c r="R78" s="48">
        <f t="shared" si="5"/>
        <v>379478753</v>
      </c>
    </row>
    <row r="79" spans="1:19">
      <c r="A79" s="18" t="s">
        <v>222</v>
      </c>
      <c r="B79" s="19" t="s">
        <v>10</v>
      </c>
      <c r="C79" s="20">
        <v>12000000</v>
      </c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10"/>
    </row>
    <row r="80" spans="1:19">
      <c r="A80" s="18" t="s">
        <v>223</v>
      </c>
      <c r="B80" s="19" t="s">
        <v>224</v>
      </c>
      <c r="C80" s="20">
        <v>1000000</v>
      </c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10"/>
    </row>
    <row r="81" spans="1:20">
      <c r="A81" s="15"/>
      <c r="B81" s="21" t="s">
        <v>225</v>
      </c>
      <c r="C81" s="22">
        <f t="shared" ref="C81:R81" si="6">+C72+C73+C74+C79+C80</f>
        <v>3223000000</v>
      </c>
      <c r="D81" s="22">
        <f t="shared" si="6"/>
        <v>0</v>
      </c>
      <c r="E81" s="22">
        <f t="shared" si="6"/>
        <v>0</v>
      </c>
      <c r="F81" s="22">
        <f t="shared" si="6"/>
        <v>321626563</v>
      </c>
      <c r="G81" s="22">
        <f t="shared" si="6"/>
        <v>304190085</v>
      </c>
      <c r="H81" s="22">
        <f t="shared" si="6"/>
        <v>195666880</v>
      </c>
      <c r="I81" s="22">
        <f t="shared" si="6"/>
        <v>11897148</v>
      </c>
      <c r="J81" s="22">
        <f t="shared" si="6"/>
        <v>25729171</v>
      </c>
      <c r="K81" s="22">
        <f t="shared" si="6"/>
        <v>202023139</v>
      </c>
      <c r="L81" s="22">
        <f t="shared" si="6"/>
        <v>328658638</v>
      </c>
      <c r="M81" s="22">
        <f t="shared" si="6"/>
        <v>224304224</v>
      </c>
      <c r="N81" s="22">
        <f t="shared" si="6"/>
        <v>218004402</v>
      </c>
      <c r="O81" s="22">
        <f t="shared" si="6"/>
        <v>390192573</v>
      </c>
      <c r="P81" s="22">
        <f t="shared" si="6"/>
        <v>427686427</v>
      </c>
      <c r="Q81" s="22">
        <f t="shared" si="6"/>
        <v>520652424</v>
      </c>
      <c r="R81" s="22">
        <f t="shared" si="6"/>
        <v>3170631674</v>
      </c>
    </row>
    <row r="82" spans="1:20" ht="15.75">
      <c r="A82" s="86" t="s">
        <v>233</v>
      </c>
      <c r="B82" s="87"/>
      <c r="C82" s="23">
        <f t="shared" ref="C82:R82" si="7">+C70+C81</f>
        <v>11723500000</v>
      </c>
      <c r="D82" s="23">
        <f t="shared" si="7"/>
        <v>0</v>
      </c>
      <c r="E82" s="23">
        <f t="shared" si="7"/>
        <v>0</v>
      </c>
      <c r="F82" s="23">
        <f t="shared" si="7"/>
        <v>719857037</v>
      </c>
      <c r="G82" s="23">
        <f t="shared" si="7"/>
        <v>824734841</v>
      </c>
      <c r="H82" s="23">
        <f t="shared" si="7"/>
        <v>572235384</v>
      </c>
      <c r="I82" s="23">
        <f t="shared" si="7"/>
        <v>345829436</v>
      </c>
      <c r="J82" s="23">
        <f t="shared" si="7"/>
        <v>230244426</v>
      </c>
      <c r="K82" s="23">
        <f t="shared" si="7"/>
        <v>656693872</v>
      </c>
      <c r="L82" s="23">
        <f t="shared" si="7"/>
        <v>837113976</v>
      </c>
      <c r="M82" s="23">
        <f t="shared" si="7"/>
        <v>484994615</v>
      </c>
      <c r="N82" s="23">
        <f t="shared" si="7"/>
        <v>552427341</v>
      </c>
      <c r="O82" s="23">
        <f t="shared" si="7"/>
        <v>759059815</v>
      </c>
      <c r="P82" s="23">
        <f t="shared" si="7"/>
        <v>780485209</v>
      </c>
      <c r="Q82" s="23">
        <f t="shared" si="7"/>
        <v>1005183463</v>
      </c>
      <c r="R82" s="23">
        <f t="shared" si="7"/>
        <v>7768859415</v>
      </c>
      <c r="T82" s="57"/>
    </row>
    <row r="83" spans="1:20">
      <c r="R83" s="57"/>
    </row>
    <row r="84" spans="1:20">
      <c r="C84" s="35"/>
      <c r="D84" s="35"/>
      <c r="F84" s="57"/>
      <c r="G84" s="35"/>
      <c r="R84" s="57"/>
    </row>
    <row r="85" spans="1:20">
      <c r="R85" s="57"/>
    </row>
    <row r="86" spans="1:20">
      <c r="R86" s="57"/>
    </row>
    <row r="87" spans="1:20">
      <c r="F87" s="35"/>
    </row>
  </sheetData>
  <mergeCells count="21">
    <mergeCell ref="A82:B82"/>
    <mergeCell ref="D3:D4"/>
    <mergeCell ref="E3:E4"/>
    <mergeCell ref="F3:F4"/>
    <mergeCell ref="A3:A4"/>
    <mergeCell ref="B3:B4"/>
    <mergeCell ref="C3:C4"/>
    <mergeCell ref="R3:R4"/>
    <mergeCell ref="G3:G4"/>
    <mergeCell ref="H3:H4"/>
    <mergeCell ref="A1:H1"/>
    <mergeCell ref="A2:H2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pageMargins left="0.70866141732283472" right="0.70866141732283472" top="0.74803149606299213" bottom="0.74803149606299213" header="0.31496062992125984" footer="0.31496062992125984"/>
  <pageSetup paperSize="190" scale="70" orientation="portrait" r:id="rId1"/>
  <ignoredErrors>
    <ignoredError sqref="R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D13" sqref="D13"/>
    </sheetView>
  </sheetViews>
  <sheetFormatPr baseColWidth="10" defaultRowHeight="15"/>
  <cols>
    <col min="1" max="1" width="17.85546875" customWidth="1"/>
    <col min="2" max="2" width="26.28515625" customWidth="1"/>
    <col min="3" max="3" width="17" customWidth="1"/>
    <col min="4" max="4" width="17.5703125" customWidth="1"/>
  </cols>
  <sheetData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PROYECTO 2020</vt:lpstr>
      <vt:lpstr>EJEGAS 2020</vt:lpstr>
      <vt:lpstr>EJEING 2020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Herazo</dc:creator>
  <cp:lastModifiedBy>Joaquin Herazo</cp:lastModifiedBy>
  <cp:lastPrinted>2020-07-14T16:25:18Z</cp:lastPrinted>
  <dcterms:created xsi:type="dcterms:W3CDTF">2019-08-20T13:10:39Z</dcterms:created>
  <dcterms:modified xsi:type="dcterms:W3CDTF">2021-01-13T17:54:57Z</dcterms:modified>
</cp:coreProperties>
</file>