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2175" windowWidth="15150" windowHeight="3540" tabRatio="911" activeTab="1"/>
  </bookViews>
  <sheets>
    <sheet name="Ppto Ejecutado 2016" sheetId="49" r:id="rId1"/>
    <sheet name="Ppto Detallado 2017" sheetId="50" r:id="rId2"/>
    <sheet name="Ppto Detallado 2016 - 2019" sheetId="3" r:id="rId3"/>
    <sheet name="Presupuesto Consolidado" sheetId="45" r:id="rId4"/>
    <sheet name="Cronograma" sheetId="47" r:id="rId5"/>
    <sheet name="Cotizaciones intersección" sheetId="33" r:id="rId6"/>
    <sheet name="Ppto Obra Semaforización" sheetId="34" r:id="rId7"/>
    <sheet name="Cotizaciones Insumos Semaforos" sheetId="35" r:id="rId8"/>
    <sheet name="Anexo A.I.U." sheetId="48" r:id="rId9"/>
    <sheet name="A.I.U. Obra Semaforización" sheetId="46" r:id="rId10"/>
    <sheet name="Interventoría Semaforización" sheetId="43" r:id="rId11"/>
    <sheet name="Factor Mult. 2.10" sheetId="44" r:id="rId12"/>
    <sheet name="A.P.U. Preliminares" sheetId="36" r:id="rId13"/>
    <sheet name="A.P.U. Equipos Nuevos" sheetId="37" r:id="rId14"/>
    <sheet name="A.P.U. Semaforos" sheetId="38" r:id="rId15"/>
    <sheet name="A.P.U. Postes y Cableado" sheetId="39" r:id="rId16"/>
    <sheet name="A.P.U. Obra Civil" sheetId="40" r:id="rId17"/>
    <sheet name="A.P.U. Señalización" sheetId="41" r:id="rId18"/>
    <sheet name="Mano Obra 2016" sheetId="42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cie1" localSheetId="1">#REF!</definedName>
    <definedName name="_cie1" localSheetId="0">#REF!</definedName>
    <definedName name="_cie1" localSheetId="3">#REF!</definedName>
    <definedName name="_cie1">#REF!</definedName>
    <definedName name="_cie2" localSheetId="1">#REF!</definedName>
    <definedName name="_cie2" localSheetId="0">#REF!</definedName>
    <definedName name="_cie2" localSheetId="3">#REF!</definedName>
    <definedName name="_cie2">#REF!</definedName>
    <definedName name="_cie3" localSheetId="1">#REF!</definedName>
    <definedName name="_cie3" localSheetId="0">#REF!</definedName>
    <definedName name="_cie3" localSheetId="3">#REF!</definedName>
    <definedName name="_cie3">#REF!</definedName>
    <definedName name="_cie4" localSheetId="1">#REF!</definedName>
    <definedName name="_cie4" localSheetId="0">#REF!</definedName>
    <definedName name="_cie4" localSheetId="3">#REF!</definedName>
    <definedName name="_cie4">#REF!</definedName>
    <definedName name="_cie5" localSheetId="1">#REF!</definedName>
    <definedName name="_cie5" localSheetId="0">#REF!</definedName>
    <definedName name="_cie5" localSheetId="3">#REF!</definedName>
    <definedName name="_cie5">#REF!</definedName>
    <definedName name="_cie6" localSheetId="1">#REF!</definedName>
    <definedName name="_cie6" localSheetId="0">#REF!</definedName>
    <definedName name="_cie6" localSheetId="3">#REF!</definedName>
    <definedName name="_cie6">#REF!</definedName>
    <definedName name="Acomet_pvc_1_2_estrato_2" localSheetId="1">#REF!</definedName>
    <definedName name="Acomet_pvc_1_2_estrato_2" localSheetId="0">#REF!</definedName>
    <definedName name="Acomet_pvc_1_2_estrato_2" localSheetId="3">#REF!</definedName>
    <definedName name="Acomet_pvc_1_2_estrato_2">#REF!</definedName>
    <definedName name="Acomet_pvc_1_2_estrato_2a" localSheetId="1">#REF!</definedName>
    <definedName name="Acomet_pvc_1_2_estrato_2a" localSheetId="0">#REF!</definedName>
    <definedName name="Acomet_pvc_1_2_estrato_2a" localSheetId="3">#REF!</definedName>
    <definedName name="Acomet_pvc_1_2_estrato_2a">#REF!</definedName>
    <definedName name="Acomet_pvc_1_2_estrato_3" localSheetId="1">#REF!</definedName>
    <definedName name="Acomet_pvc_1_2_estrato_3" localSheetId="0">#REF!</definedName>
    <definedName name="Acomet_pvc_1_2_estrato_3" localSheetId="3">#REF!</definedName>
    <definedName name="Acomet_pvc_1_2_estrato_3">#REF!</definedName>
    <definedName name="Acomet_pvc_1_2_estrato_4" localSheetId="1">#REF!</definedName>
    <definedName name="Acomet_pvc_1_2_estrato_4" localSheetId="0">#REF!</definedName>
    <definedName name="Acomet_pvc_1_2_estrato_4" localSheetId="3">#REF!</definedName>
    <definedName name="Acomet_pvc_1_2_estrato_4">#REF!</definedName>
    <definedName name="Acomet_pvc_3_4_estrato_1" localSheetId="1">#REF!</definedName>
    <definedName name="Acomet_pvc_3_4_estrato_1" localSheetId="0">#REF!</definedName>
    <definedName name="Acomet_pvc_3_4_estrato_1" localSheetId="3">#REF!</definedName>
    <definedName name="Acomet_pvc_3_4_estrato_1">#REF!</definedName>
    <definedName name="Acomet_pvc_3_4_estrato_2" localSheetId="1">#REF!</definedName>
    <definedName name="Acomet_pvc_3_4_estrato_2" localSheetId="0">#REF!</definedName>
    <definedName name="Acomet_pvc_3_4_estrato_2" localSheetId="3">#REF!</definedName>
    <definedName name="Acomet_pvc_3_4_estrato_2">#REF!</definedName>
    <definedName name="Acomet_pvc_3_4_estrato_3" localSheetId="1">#REF!</definedName>
    <definedName name="Acomet_pvc_3_4_estrato_3" localSheetId="0">#REF!</definedName>
    <definedName name="Acomet_pvc_3_4_estrato_3" localSheetId="3">#REF!</definedName>
    <definedName name="Acomet_pvc_3_4_estrato_3">#REF!</definedName>
    <definedName name="Acomet_pvc_3_4_estrato_4" localSheetId="1">#REF!</definedName>
    <definedName name="Acomet_pvc_3_4_estrato_4" localSheetId="0">#REF!</definedName>
    <definedName name="Acomet_pvc_3_4_estrato_4" localSheetId="3">#REF!</definedName>
    <definedName name="Acomet_pvc_3_4_estrato_4">#REF!</definedName>
    <definedName name="ADM">[1]PERSOADMIN!$A$2:$A$5</definedName>
    <definedName name="Anden_concret_e0.10" localSheetId="1">#REF!</definedName>
    <definedName name="Anden_concret_e0.10" localSheetId="0">#REF!</definedName>
    <definedName name="Anden_concret_e0.10" localSheetId="3">#REF!</definedName>
    <definedName name="Anden_concret_e0.10">#REF!</definedName>
    <definedName name="apasanit10" localSheetId="1">#REF!</definedName>
    <definedName name="apasanit10" localSheetId="0">#REF!</definedName>
    <definedName name="apasanit10" localSheetId="3">#REF!</definedName>
    <definedName name="apasanit10">#REF!</definedName>
    <definedName name="apasanit11" localSheetId="1">#REF!</definedName>
    <definedName name="apasanit11" localSheetId="0">#REF!</definedName>
    <definedName name="apasanit11" localSheetId="3">#REF!</definedName>
    <definedName name="apasanit11">#REF!</definedName>
    <definedName name="apasanit12" localSheetId="1">#REF!</definedName>
    <definedName name="apasanit12" localSheetId="0">#REF!</definedName>
    <definedName name="apasanit12" localSheetId="3">#REF!</definedName>
    <definedName name="apasanit12">#REF!</definedName>
    <definedName name="apasanit13" localSheetId="1">#REF!</definedName>
    <definedName name="apasanit13" localSheetId="0">#REF!</definedName>
    <definedName name="apasanit13" localSheetId="3">#REF!</definedName>
    <definedName name="apasanit13">#REF!</definedName>
    <definedName name="apasanit14" localSheetId="1">#REF!</definedName>
    <definedName name="apasanit14" localSheetId="0">#REF!</definedName>
    <definedName name="apasanit14" localSheetId="3">#REF!</definedName>
    <definedName name="apasanit14">#REF!</definedName>
    <definedName name="apasanit15" localSheetId="1">#REF!</definedName>
    <definedName name="apasanit15" localSheetId="0">#REF!</definedName>
    <definedName name="apasanit15" localSheetId="3">#REF!</definedName>
    <definedName name="apasanit15">#REF!</definedName>
    <definedName name="apasanit16" localSheetId="1">#REF!</definedName>
    <definedName name="apasanit16" localSheetId="0">#REF!</definedName>
    <definedName name="apasanit16" localSheetId="3">#REF!</definedName>
    <definedName name="apasanit16">#REF!</definedName>
    <definedName name="apasanit17" localSheetId="1">#REF!</definedName>
    <definedName name="apasanit17" localSheetId="0">#REF!</definedName>
    <definedName name="apasanit17" localSheetId="3">#REF!</definedName>
    <definedName name="apasanit17">#REF!</definedName>
    <definedName name="apasanit18" localSheetId="1">#REF!</definedName>
    <definedName name="apasanit18" localSheetId="0">#REF!</definedName>
    <definedName name="apasanit18" localSheetId="3">#REF!</definedName>
    <definedName name="apasanit18">#REF!</definedName>
    <definedName name="apasanit19" localSheetId="1">#REF!</definedName>
    <definedName name="apasanit19" localSheetId="0">#REF!</definedName>
    <definedName name="apasanit19" localSheetId="3">#REF!</definedName>
    <definedName name="apasanit19">#REF!</definedName>
    <definedName name="apasanit2" localSheetId="1">#REF!</definedName>
    <definedName name="apasanit2" localSheetId="0">#REF!</definedName>
    <definedName name="apasanit2" localSheetId="3">#REF!</definedName>
    <definedName name="apasanit2">#REF!</definedName>
    <definedName name="apasanit20" localSheetId="1">#REF!</definedName>
    <definedName name="apasanit20" localSheetId="0">#REF!</definedName>
    <definedName name="apasanit20" localSheetId="3">#REF!</definedName>
    <definedName name="apasanit20">#REF!</definedName>
    <definedName name="apasanit3" localSheetId="1">#REF!</definedName>
    <definedName name="apasanit3" localSheetId="0">#REF!</definedName>
    <definedName name="apasanit3" localSheetId="3">#REF!</definedName>
    <definedName name="apasanit3">#REF!</definedName>
    <definedName name="apasanit4" localSheetId="1">#REF!</definedName>
    <definedName name="apasanit4" localSheetId="0">#REF!</definedName>
    <definedName name="apasanit4" localSheetId="3">#REF!</definedName>
    <definedName name="apasanit4">#REF!</definedName>
    <definedName name="apasanit5" localSheetId="1">#REF!</definedName>
    <definedName name="apasanit5" localSheetId="0">#REF!</definedName>
    <definedName name="apasanit5" localSheetId="3">#REF!</definedName>
    <definedName name="apasanit5">#REF!</definedName>
    <definedName name="apasanit6" localSheetId="1">#REF!</definedName>
    <definedName name="apasanit6" localSheetId="0">#REF!</definedName>
    <definedName name="apasanit6" localSheetId="3">#REF!</definedName>
    <definedName name="apasanit6">#REF!</definedName>
    <definedName name="apasanit7" localSheetId="1">#REF!</definedName>
    <definedName name="apasanit7" localSheetId="0">#REF!</definedName>
    <definedName name="apasanit7" localSheetId="3">#REF!</definedName>
    <definedName name="apasanit7">#REF!</definedName>
    <definedName name="apasanit8" localSheetId="1">#REF!</definedName>
    <definedName name="apasanit8" localSheetId="0">#REF!</definedName>
    <definedName name="apasanit8" localSheetId="3">#REF!</definedName>
    <definedName name="apasanit8">#REF!</definedName>
    <definedName name="apasanit9" localSheetId="1">#REF!</definedName>
    <definedName name="apasanit9" localSheetId="0">#REF!</definedName>
    <definedName name="apasanit9" localSheetId="3">#REF!</definedName>
    <definedName name="apasanit9">#REF!</definedName>
    <definedName name="AUX">[1]AUXILIARTEC!$A$2:$A$4</definedName>
    <definedName name="carpmad10" localSheetId="1">#REF!</definedName>
    <definedName name="carpmad10" localSheetId="0">#REF!</definedName>
    <definedName name="carpmad10" localSheetId="3">#REF!</definedName>
    <definedName name="carpmad10">#REF!</definedName>
    <definedName name="carpmad11" localSheetId="1">#REF!</definedName>
    <definedName name="carpmad11" localSheetId="0">#REF!</definedName>
    <definedName name="carpmad11" localSheetId="3">#REF!</definedName>
    <definedName name="carpmad11">#REF!</definedName>
    <definedName name="carpmad12" localSheetId="1">#REF!</definedName>
    <definedName name="carpmad12" localSheetId="0">#REF!</definedName>
    <definedName name="carpmad12" localSheetId="3">#REF!</definedName>
    <definedName name="carpmad12">#REF!</definedName>
    <definedName name="carpmad13" localSheetId="1">#REF!</definedName>
    <definedName name="carpmad13" localSheetId="0">#REF!</definedName>
    <definedName name="carpmad13" localSheetId="3">#REF!</definedName>
    <definedName name="carpmad13">#REF!</definedName>
    <definedName name="carpmad14" localSheetId="1">#REF!</definedName>
    <definedName name="carpmad14" localSheetId="0">#REF!</definedName>
    <definedName name="carpmad14" localSheetId="3">#REF!</definedName>
    <definedName name="carpmad14">#REF!</definedName>
    <definedName name="carpmad15" localSheetId="1">#REF!</definedName>
    <definedName name="carpmad15" localSheetId="0">#REF!</definedName>
    <definedName name="carpmad15" localSheetId="3">#REF!</definedName>
    <definedName name="carpmad15">#REF!</definedName>
    <definedName name="carpmad16" localSheetId="1">#REF!</definedName>
    <definedName name="carpmad16" localSheetId="0">#REF!</definedName>
    <definedName name="carpmad16" localSheetId="3">#REF!</definedName>
    <definedName name="carpmad16">#REF!</definedName>
    <definedName name="carpmad2" localSheetId="1">#REF!</definedName>
    <definedName name="carpmad2" localSheetId="0">#REF!</definedName>
    <definedName name="carpmad2" localSheetId="3">#REF!</definedName>
    <definedName name="carpmad2">#REF!</definedName>
    <definedName name="carpmad3" localSheetId="1">#REF!</definedName>
    <definedName name="carpmad3" localSheetId="0">#REF!</definedName>
    <definedName name="carpmad3" localSheetId="3">#REF!</definedName>
    <definedName name="carpmad3">#REF!</definedName>
    <definedName name="carpmad4" localSheetId="1">#REF!</definedName>
    <definedName name="carpmad4" localSheetId="0">#REF!</definedName>
    <definedName name="carpmad4" localSheetId="3">#REF!</definedName>
    <definedName name="carpmad4">#REF!</definedName>
    <definedName name="carpmad5" localSheetId="1">#REF!</definedName>
    <definedName name="carpmad5" localSheetId="0">#REF!</definedName>
    <definedName name="carpmad5" localSheetId="3">#REF!</definedName>
    <definedName name="carpmad5">#REF!</definedName>
    <definedName name="carpmad6" localSheetId="1">#REF!</definedName>
    <definedName name="carpmad6" localSheetId="0">#REF!</definedName>
    <definedName name="carpmad6" localSheetId="3">#REF!</definedName>
    <definedName name="carpmad6">#REF!</definedName>
    <definedName name="carpmad7" localSheetId="1">#REF!</definedName>
    <definedName name="carpmad7" localSheetId="0">#REF!</definedName>
    <definedName name="carpmad7" localSheetId="3">#REF!</definedName>
    <definedName name="carpmad7">#REF!</definedName>
    <definedName name="carpmad8" localSheetId="1">#REF!</definedName>
    <definedName name="carpmad8" localSheetId="0">#REF!</definedName>
    <definedName name="carpmad8" localSheetId="3">#REF!</definedName>
    <definedName name="carpmad8">#REF!</definedName>
    <definedName name="carpmad9" localSheetId="1">#REF!</definedName>
    <definedName name="carpmad9" localSheetId="0">#REF!</definedName>
    <definedName name="carpmad9" localSheetId="3">#REF!</definedName>
    <definedName name="carpmad9">#REF!</definedName>
    <definedName name="carpmet1" localSheetId="1">#REF!</definedName>
    <definedName name="carpmet1" localSheetId="0">#REF!</definedName>
    <definedName name="carpmet1" localSheetId="3">#REF!</definedName>
    <definedName name="carpmet1">#REF!</definedName>
    <definedName name="carpmet10" localSheetId="1">#REF!</definedName>
    <definedName name="carpmet10" localSheetId="0">#REF!</definedName>
    <definedName name="carpmet10" localSheetId="3">#REF!</definedName>
    <definedName name="carpmet10">#REF!</definedName>
    <definedName name="carpmet11" localSheetId="1">#REF!</definedName>
    <definedName name="carpmet11" localSheetId="0">#REF!</definedName>
    <definedName name="carpmet11" localSheetId="3">#REF!</definedName>
    <definedName name="carpmet11">#REF!</definedName>
    <definedName name="carpmet12" localSheetId="1">#REF!</definedName>
    <definedName name="carpmet12" localSheetId="0">#REF!</definedName>
    <definedName name="carpmet12" localSheetId="3">#REF!</definedName>
    <definedName name="carpmet12">#REF!</definedName>
    <definedName name="carpmet13" localSheetId="1">#REF!</definedName>
    <definedName name="carpmet13" localSheetId="0">#REF!</definedName>
    <definedName name="carpmet13" localSheetId="3">#REF!</definedName>
    <definedName name="carpmet13">#REF!</definedName>
    <definedName name="carpmet14" localSheetId="1">#REF!</definedName>
    <definedName name="carpmet14" localSheetId="0">#REF!</definedName>
    <definedName name="carpmet14" localSheetId="3">#REF!</definedName>
    <definedName name="carpmet14">#REF!</definedName>
    <definedName name="carpmet15" localSheetId="1">#REF!</definedName>
    <definedName name="carpmet15" localSheetId="0">#REF!</definedName>
    <definedName name="carpmet15" localSheetId="3">#REF!</definedName>
    <definedName name="carpmet15">#REF!</definedName>
    <definedName name="carpmet16" localSheetId="1">#REF!</definedName>
    <definedName name="carpmet16" localSheetId="0">#REF!</definedName>
    <definedName name="carpmet16" localSheetId="3">#REF!</definedName>
    <definedName name="carpmet16">#REF!</definedName>
    <definedName name="carpmet17" localSheetId="1">#REF!</definedName>
    <definedName name="carpmet17" localSheetId="0">#REF!</definedName>
    <definedName name="carpmet17" localSheetId="3">#REF!</definedName>
    <definedName name="carpmet17">#REF!</definedName>
    <definedName name="carpmet18" localSheetId="1">#REF!</definedName>
    <definedName name="carpmet18" localSheetId="0">#REF!</definedName>
    <definedName name="carpmet18" localSheetId="3">#REF!</definedName>
    <definedName name="carpmet18">#REF!</definedName>
    <definedName name="carpmet19" localSheetId="1">#REF!</definedName>
    <definedName name="carpmet19" localSheetId="0">#REF!</definedName>
    <definedName name="carpmet19" localSheetId="3">#REF!</definedName>
    <definedName name="carpmet19">#REF!</definedName>
    <definedName name="carpmet2" localSheetId="1">#REF!</definedName>
    <definedName name="carpmet2" localSheetId="0">#REF!</definedName>
    <definedName name="carpmet2" localSheetId="3">#REF!</definedName>
    <definedName name="carpmet2">#REF!</definedName>
    <definedName name="carpmet20" localSheetId="1">#REF!</definedName>
    <definedName name="carpmet20" localSheetId="0">#REF!</definedName>
    <definedName name="carpmet20" localSheetId="3">#REF!</definedName>
    <definedName name="carpmet20">#REF!</definedName>
    <definedName name="carpmet21" localSheetId="1">#REF!</definedName>
    <definedName name="carpmet21" localSheetId="0">#REF!</definedName>
    <definedName name="carpmet21" localSheetId="3">#REF!</definedName>
    <definedName name="carpmet21">#REF!</definedName>
    <definedName name="carpmet22" localSheetId="1">#REF!</definedName>
    <definedName name="carpmet22" localSheetId="0">#REF!</definedName>
    <definedName name="carpmet22" localSheetId="3">#REF!</definedName>
    <definedName name="carpmet22">#REF!</definedName>
    <definedName name="carpmet3" localSheetId="1">#REF!</definedName>
    <definedName name="carpmet3" localSheetId="0">#REF!</definedName>
    <definedName name="carpmet3" localSheetId="3">#REF!</definedName>
    <definedName name="carpmet3">#REF!</definedName>
    <definedName name="carpmet4" localSheetId="1">#REF!</definedName>
    <definedName name="carpmet4" localSheetId="0">#REF!</definedName>
    <definedName name="carpmet4" localSheetId="3">#REF!</definedName>
    <definedName name="carpmet4">#REF!</definedName>
    <definedName name="carpmet5" localSheetId="1">#REF!</definedName>
    <definedName name="carpmet5" localSheetId="0">#REF!</definedName>
    <definedName name="carpmet5" localSheetId="3">#REF!</definedName>
    <definedName name="carpmet5">#REF!</definedName>
    <definedName name="carpmet6" localSheetId="1">#REF!</definedName>
    <definedName name="carpmet6" localSheetId="0">#REF!</definedName>
    <definedName name="carpmet6" localSheetId="3">#REF!</definedName>
    <definedName name="carpmet6">#REF!</definedName>
    <definedName name="carpmet7" localSheetId="1">#REF!</definedName>
    <definedName name="carpmet7" localSheetId="0">#REF!</definedName>
    <definedName name="carpmet7" localSheetId="3">#REF!</definedName>
    <definedName name="carpmet7">#REF!</definedName>
    <definedName name="carpmet8" localSheetId="1">#REF!</definedName>
    <definedName name="carpmet8" localSheetId="0">#REF!</definedName>
    <definedName name="carpmet8" localSheetId="3">#REF!</definedName>
    <definedName name="carpmet8">#REF!</definedName>
    <definedName name="carpmet9" localSheetId="1">#REF!</definedName>
    <definedName name="carpmet9" localSheetId="0">#REF!</definedName>
    <definedName name="carpmet9" localSheetId="3">#REF!</definedName>
    <definedName name="carpmet9">#REF!</definedName>
    <definedName name="carpmetal1" localSheetId="1">#REF!</definedName>
    <definedName name="carpmetal1" localSheetId="0">#REF!</definedName>
    <definedName name="carpmetal1" localSheetId="3">#REF!</definedName>
    <definedName name="carpmetal1">#REF!</definedName>
    <definedName name="CAT">[1]DIRECTVOS!$A$2:$A$9</definedName>
    <definedName name="Columna_0.20x0.36" localSheetId="1">#REF!</definedName>
    <definedName name="Columna_0.20x0.36" localSheetId="0">#REF!</definedName>
    <definedName name="Columna_0.20x0.36" localSheetId="3">#REF!</definedName>
    <definedName name="Columna_0.20x0.36">#REF!</definedName>
    <definedName name="Columna_0.25x0.25m" localSheetId="1">#REF!</definedName>
    <definedName name="Columna_0.25x0.25m" localSheetId="0">#REF!</definedName>
    <definedName name="Columna_0.25x0.25m" localSheetId="3">#REF!</definedName>
    <definedName name="Columna_0.25x0.25m">#REF!</definedName>
    <definedName name="Columna_0.25x0.30m" localSheetId="1">#REF!</definedName>
    <definedName name="Columna_0.25x0.30m" localSheetId="0">#REF!</definedName>
    <definedName name="Columna_0.25x0.30m" localSheetId="3">#REF!</definedName>
    <definedName name="Columna_0.25x0.30m">#REF!</definedName>
    <definedName name="Columna_0.25x0.30m_6" localSheetId="1">#REF!</definedName>
    <definedName name="Columna_0.25x0.30m_6" localSheetId="0">#REF!</definedName>
    <definedName name="Columna_0.25x0.30m_6" localSheetId="3">#REF!</definedName>
    <definedName name="Columna_0.25x0.30m_6">#REF!</definedName>
    <definedName name="Columna_0.45x0.30_1_2" localSheetId="1">#REF!</definedName>
    <definedName name="Columna_0.45x0.30_1_2" localSheetId="0">#REF!</definedName>
    <definedName name="Columna_0.45x0.30_1_2" localSheetId="3">#REF!</definedName>
    <definedName name="Columna_0.45x0.30_1_2">#REF!</definedName>
    <definedName name="Columna_0.45x0.30m" localSheetId="1">#REF!</definedName>
    <definedName name="Columna_0.45x0.30m" localSheetId="0">#REF!</definedName>
    <definedName name="Columna_0.45x0.30m" localSheetId="3">#REF!</definedName>
    <definedName name="Columna_0.45x0.30m">#REF!</definedName>
    <definedName name="columneta_0.07x0.30m" localSheetId="1">#REF!</definedName>
    <definedName name="columneta_0.07x0.30m" localSheetId="0">#REF!</definedName>
    <definedName name="columneta_0.07x0.30m" localSheetId="3">#REF!</definedName>
    <definedName name="columneta_0.07x0.30m">#REF!</definedName>
    <definedName name="columneta_0.12x0.3m" localSheetId="1">#REF!</definedName>
    <definedName name="columneta_0.12x0.3m" localSheetId="0">#REF!</definedName>
    <definedName name="columneta_0.12x0.3m" localSheetId="3">#REF!</definedName>
    <definedName name="columneta_0.12x0.3m">#REF!</definedName>
    <definedName name="Columneta_0.15x0.15m" localSheetId="1">#REF!</definedName>
    <definedName name="Columneta_0.15x0.15m" localSheetId="0">#REF!</definedName>
    <definedName name="Columneta_0.15x0.15m" localSheetId="3">#REF!</definedName>
    <definedName name="Columneta_0.15x0.15m">#REF!</definedName>
    <definedName name="columneta_0.15x0.30m" localSheetId="1">#REF!</definedName>
    <definedName name="columneta_0.15x0.30m" localSheetId="0">#REF!</definedName>
    <definedName name="columneta_0.15x0.30m" localSheetId="3">#REF!</definedName>
    <definedName name="columneta_0.15x0.30m">#REF!</definedName>
    <definedName name="Const_punt_sanit_pvc2" localSheetId="1">#REF!</definedName>
    <definedName name="Const_punt_sanit_pvc2" localSheetId="0">#REF!</definedName>
    <definedName name="Const_punt_sanit_pvc2" localSheetId="3">#REF!</definedName>
    <definedName name="Const_punt_sanit_pvc2">#REF!</definedName>
    <definedName name="Const_punt_sanit_pvc4" localSheetId="1">#REF!</definedName>
    <definedName name="Const_punt_sanit_pvc4" localSheetId="0">#REF!</definedName>
    <definedName name="Const_punt_sanit_pvc4" localSheetId="3">#REF!</definedName>
    <definedName name="Const_punt_sanit_pvc4">#REF!</definedName>
    <definedName name="cu_10" localSheetId="1">#REF!</definedName>
    <definedName name="cu_10" localSheetId="0">#REF!</definedName>
    <definedName name="cu_10" localSheetId="3">#REF!</definedName>
    <definedName name="cu_10">#REF!</definedName>
    <definedName name="cu_11" localSheetId="1">#REF!</definedName>
    <definedName name="cu_11" localSheetId="0">#REF!</definedName>
    <definedName name="cu_11" localSheetId="3">#REF!</definedName>
    <definedName name="cu_11">#REF!</definedName>
    <definedName name="cu_12" localSheetId="1">#REF!</definedName>
    <definedName name="cu_12" localSheetId="0">#REF!</definedName>
    <definedName name="cu_12" localSheetId="3">#REF!</definedName>
    <definedName name="cu_12">#REF!</definedName>
    <definedName name="cu_13" localSheetId="1">#REF!</definedName>
    <definedName name="cu_13" localSheetId="0">#REF!</definedName>
    <definedName name="cu_13" localSheetId="3">#REF!</definedName>
    <definedName name="cu_13">#REF!</definedName>
    <definedName name="cu_14" localSheetId="1">#REF!</definedName>
    <definedName name="cu_14" localSheetId="0">#REF!</definedName>
    <definedName name="cu_14" localSheetId="3">#REF!</definedName>
    <definedName name="cu_14">#REF!</definedName>
    <definedName name="cu_15" localSheetId="1">#REF!</definedName>
    <definedName name="cu_15" localSheetId="0">#REF!</definedName>
    <definedName name="cu_15" localSheetId="3">#REF!</definedName>
    <definedName name="cu_15">#REF!</definedName>
    <definedName name="cu_16" localSheetId="1">#REF!</definedName>
    <definedName name="cu_16" localSheetId="0">#REF!</definedName>
    <definedName name="cu_16" localSheetId="3">#REF!</definedName>
    <definedName name="cu_16">#REF!</definedName>
    <definedName name="cu_17" localSheetId="1">#REF!</definedName>
    <definedName name="cu_17" localSheetId="0">#REF!</definedName>
    <definedName name="cu_17" localSheetId="3">#REF!</definedName>
    <definedName name="cu_17">#REF!</definedName>
    <definedName name="cu_18" localSheetId="1">#REF!</definedName>
    <definedName name="cu_18" localSheetId="0">#REF!</definedName>
    <definedName name="cu_18" localSheetId="3">#REF!</definedName>
    <definedName name="cu_18">#REF!</definedName>
    <definedName name="cu_19" localSheetId="1">#REF!</definedName>
    <definedName name="cu_19" localSheetId="0">#REF!</definedName>
    <definedName name="cu_19" localSheetId="3">#REF!</definedName>
    <definedName name="cu_19">#REF!</definedName>
    <definedName name="cu_2" localSheetId="1">#REF!</definedName>
    <definedName name="cu_2" localSheetId="0">#REF!</definedName>
    <definedName name="cu_2" localSheetId="3">#REF!</definedName>
    <definedName name="cu_2">#REF!</definedName>
    <definedName name="cu_20" localSheetId="1">#REF!</definedName>
    <definedName name="cu_20" localSheetId="0">#REF!</definedName>
    <definedName name="cu_20" localSheetId="3">#REF!</definedName>
    <definedName name="cu_20">#REF!</definedName>
    <definedName name="cu_21" localSheetId="1">#REF!</definedName>
    <definedName name="cu_21" localSheetId="0">#REF!</definedName>
    <definedName name="cu_21" localSheetId="3">#REF!</definedName>
    <definedName name="cu_21">#REF!</definedName>
    <definedName name="cu_22" localSheetId="1">#REF!</definedName>
    <definedName name="cu_22" localSheetId="0">#REF!</definedName>
    <definedName name="cu_22" localSheetId="3">#REF!</definedName>
    <definedName name="cu_22">#REF!</definedName>
    <definedName name="cu_23" localSheetId="1">#REF!</definedName>
    <definedName name="cu_23" localSheetId="0">#REF!</definedName>
    <definedName name="cu_23" localSheetId="3">#REF!</definedName>
    <definedName name="cu_23">#REF!</definedName>
    <definedName name="cu_24" localSheetId="1">#REF!</definedName>
    <definedName name="cu_24" localSheetId="0">#REF!</definedName>
    <definedName name="cu_24" localSheetId="3">#REF!</definedName>
    <definedName name="cu_24">#REF!</definedName>
    <definedName name="cu_25" localSheetId="1">#REF!</definedName>
    <definedName name="cu_25" localSheetId="0">#REF!</definedName>
    <definedName name="cu_25" localSheetId="3">#REF!</definedName>
    <definedName name="cu_25">#REF!</definedName>
    <definedName name="cu_26" localSheetId="1">#REF!</definedName>
    <definedName name="cu_26" localSheetId="0">#REF!</definedName>
    <definedName name="cu_26" localSheetId="3">#REF!</definedName>
    <definedName name="cu_26">#REF!</definedName>
    <definedName name="cu_27" localSheetId="1">#REF!</definedName>
    <definedName name="cu_27" localSheetId="0">#REF!</definedName>
    <definedName name="cu_27" localSheetId="3">#REF!</definedName>
    <definedName name="cu_27">#REF!</definedName>
    <definedName name="cu_28" localSheetId="1">#REF!</definedName>
    <definedName name="cu_28" localSheetId="0">#REF!</definedName>
    <definedName name="cu_28" localSheetId="3">#REF!</definedName>
    <definedName name="cu_28">#REF!</definedName>
    <definedName name="cu_29" localSheetId="1">#REF!</definedName>
    <definedName name="cu_29" localSheetId="0">#REF!</definedName>
    <definedName name="cu_29" localSheetId="3">#REF!</definedName>
    <definedName name="cu_29">#REF!</definedName>
    <definedName name="cu_3" localSheetId="1">#REF!</definedName>
    <definedName name="cu_3" localSheetId="0">#REF!</definedName>
    <definedName name="cu_3" localSheetId="3">#REF!</definedName>
    <definedName name="cu_3">#REF!</definedName>
    <definedName name="CU_30" localSheetId="1">#REF!</definedName>
    <definedName name="CU_30" localSheetId="0">#REF!</definedName>
    <definedName name="CU_30" localSheetId="3">#REF!</definedName>
    <definedName name="CU_30">#REF!</definedName>
    <definedName name="cu_4" localSheetId="1">#REF!</definedName>
    <definedName name="cu_4" localSheetId="0">#REF!</definedName>
    <definedName name="cu_4" localSheetId="3">#REF!</definedName>
    <definedName name="cu_4">#REF!</definedName>
    <definedName name="cu_5" localSheetId="1">#REF!</definedName>
    <definedName name="cu_5" localSheetId="0">#REF!</definedName>
    <definedName name="cu_5" localSheetId="3">#REF!</definedName>
    <definedName name="cu_5">#REF!</definedName>
    <definedName name="cu_6" localSheetId="1">#REF!</definedName>
    <definedName name="cu_6" localSheetId="0">#REF!</definedName>
    <definedName name="cu_6" localSheetId="3">#REF!</definedName>
    <definedName name="cu_6">#REF!</definedName>
    <definedName name="cu_7" localSheetId="1">#REF!</definedName>
    <definedName name="cu_7" localSheetId="0">#REF!</definedName>
    <definedName name="cu_7" localSheetId="3">#REF!</definedName>
    <definedName name="cu_7">#REF!</definedName>
    <definedName name="cu_8" localSheetId="1">#REF!</definedName>
    <definedName name="cu_8" localSheetId="0">#REF!</definedName>
    <definedName name="cu_8" localSheetId="3">#REF!</definedName>
    <definedName name="cu_8">#REF!</definedName>
    <definedName name="cu_9" localSheetId="1">#REF!</definedName>
    <definedName name="cu_9" localSheetId="0">#REF!</definedName>
    <definedName name="cu_9" localSheetId="3">#REF!</definedName>
    <definedName name="cu_9">#REF!</definedName>
    <definedName name="Dintel_concret_3000psi" localSheetId="1">#REF!</definedName>
    <definedName name="Dintel_concret_3000psi" localSheetId="0">#REF!</definedName>
    <definedName name="Dintel_concret_3000psi" localSheetId="3">#REF!</definedName>
    <definedName name="Dintel_concret_3000psi">#REF!</definedName>
    <definedName name="elec1" localSheetId="1">#REF!</definedName>
    <definedName name="elec1" localSheetId="0">#REF!</definedName>
    <definedName name="elec1" localSheetId="3">#REF!</definedName>
    <definedName name="elec1">#REF!</definedName>
    <definedName name="elec10" localSheetId="1">#REF!</definedName>
    <definedName name="elec10" localSheetId="0">#REF!</definedName>
    <definedName name="elec10" localSheetId="3">#REF!</definedName>
    <definedName name="elec10">#REF!</definedName>
    <definedName name="elec11" localSheetId="1">#REF!</definedName>
    <definedName name="elec11" localSheetId="0">#REF!</definedName>
    <definedName name="elec11" localSheetId="3">#REF!</definedName>
    <definedName name="elec11">#REF!</definedName>
    <definedName name="elec12" localSheetId="1">#REF!</definedName>
    <definedName name="elec12" localSheetId="0">#REF!</definedName>
    <definedName name="elec12" localSheetId="3">#REF!</definedName>
    <definedName name="elec12">#REF!</definedName>
    <definedName name="elec13" localSheetId="1">#REF!</definedName>
    <definedName name="elec13" localSheetId="0">#REF!</definedName>
    <definedName name="elec13" localSheetId="3">#REF!</definedName>
    <definedName name="elec13">#REF!</definedName>
    <definedName name="elec14" localSheetId="1">#REF!</definedName>
    <definedName name="elec14" localSheetId="0">#REF!</definedName>
    <definedName name="elec14" localSheetId="3">#REF!</definedName>
    <definedName name="elec14">#REF!</definedName>
    <definedName name="elec15" localSheetId="1">#REF!</definedName>
    <definedName name="elec15" localSheetId="0">#REF!</definedName>
    <definedName name="elec15" localSheetId="3">#REF!</definedName>
    <definedName name="elec15">#REF!</definedName>
    <definedName name="elec16" localSheetId="1">#REF!</definedName>
    <definedName name="elec16" localSheetId="0">#REF!</definedName>
    <definedName name="elec16" localSheetId="3">#REF!</definedName>
    <definedName name="elec16">#REF!</definedName>
    <definedName name="elec17" localSheetId="1">#REF!</definedName>
    <definedName name="elec17" localSheetId="0">#REF!</definedName>
    <definedName name="elec17" localSheetId="3">#REF!</definedName>
    <definedName name="elec17">#REF!</definedName>
    <definedName name="elec18" localSheetId="1">#REF!</definedName>
    <definedName name="elec18" localSheetId="0">#REF!</definedName>
    <definedName name="elec18" localSheetId="3">#REF!</definedName>
    <definedName name="elec18">#REF!</definedName>
    <definedName name="elec19" localSheetId="1">#REF!</definedName>
    <definedName name="elec19" localSheetId="0">#REF!</definedName>
    <definedName name="elec19" localSheetId="3">#REF!</definedName>
    <definedName name="elec19">#REF!</definedName>
    <definedName name="elec2" localSheetId="1">#REF!</definedName>
    <definedName name="elec2" localSheetId="0">#REF!</definedName>
    <definedName name="elec2" localSheetId="3">#REF!</definedName>
    <definedName name="elec2">#REF!</definedName>
    <definedName name="elec20" localSheetId="1">#REF!</definedName>
    <definedName name="elec20" localSheetId="0">#REF!</definedName>
    <definedName name="elec20" localSheetId="3">#REF!</definedName>
    <definedName name="elec20">#REF!</definedName>
    <definedName name="elec21" localSheetId="1">#REF!</definedName>
    <definedName name="elec21" localSheetId="0">#REF!</definedName>
    <definedName name="elec21" localSheetId="3">#REF!</definedName>
    <definedName name="elec21">#REF!</definedName>
    <definedName name="elec22" localSheetId="1">#REF!</definedName>
    <definedName name="elec22" localSheetId="0">#REF!</definedName>
    <definedName name="elec22" localSheetId="3">#REF!</definedName>
    <definedName name="elec22">#REF!</definedName>
    <definedName name="elec23" localSheetId="1">#REF!</definedName>
    <definedName name="elec23" localSheetId="0">#REF!</definedName>
    <definedName name="elec23" localSheetId="3">#REF!</definedName>
    <definedName name="elec23">#REF!</definedName>
    <definedName name="elec24" localSheetId="1">#REF!</definedName>
    <definedName name="elec24" localSheetId="0">#REF!</definedName>
    <definedName name="elec24" localSheetId="3">#REF!</definedName>
    <definedName name="elec24">#REF!</definedName>
    <definedName name="elec25" localSheetId="1">#REF!</definedName>
    <definedName name="elec25" localSheetId="0">#REF!</definedName>
    <definedName name="elec25" localSheetId="3">#REF!</definedName>
    <definedName name="elec25">#REF!</definedName>
    <definedName name="elec26" localSheetId="1">#REF!</definedName>
    <definedName name="elec26" localSheetId="0">#REF!</definedName>
    <definedName name="elec26" localSheetId="3">#REF!</definedName>
    <definedName name="elec26">#REF!</definedName>
    <definedName name="elec27" localSheetId="1">#REF!</definedName>
    <definedName name="elec27" localSheetId="0">#REF!</definedName>
    <definedName name="elec27" localSheetId="3">#REF!</definedName>
    <definedName name="elec27">#REF!</definedName>
    <definedName name="elec28" localSheetId="1">#REF!</definedName>
    <definedName name="elec28" localSheetId="0">#REF!</definedName>
    <definedName name="elec28" localSheetId="3">#REF!</definedName>
    <definedName name="elec28">#REF!</definedName>
    <definedName name="elec29" localSheetId="1">#REF!</definedName>
    <definedName name="elec29" localSheetId="0">#REF!</definedName>
    <definedName name="elec29" localSheetId="3">#REF!</definedName>
    <definedName name="elec29">#REF!</definedName>
    <definedName name="elec3" localSheetId="1">#REF!</definedName>
    <definedName name="elec3" localSheetId="0">#REF!</definedName>
    <definedName name="elec3" localSheetId="3">#REF!</definedName>
    <definedName name="elec3">#REF!</definedName>
    <definedName name="elec30" localSheetId="1">#REF!</definedName>
    <definedName name="elec30" localSheetId="0">#REF!</definedName>
    <definedName name="elec30" localSheetId="3">#REF!</definedName>
    <definedName name="elec30">#REF!</definedName>
    <definedName name="elec31" localSheetId="1">#REF!</definedName>
    <definedName name="elec31" localSheetId="0">#REF!</definedName>
    <definedName name="elec31" localSheetId="3">#REF!</definedName>
    <definedName name="elec31">#REF!</definedName>
    <definedName name="elec32" localSheetId="1">#REF!</definedName>
    <definedName name="elec32" localSheetId="0">#REF!</definedName>
    <definedName name="elec32" localSheetId="3">#REF!</definedName>
    <definedName name="elec32">#REF!</definedName>
    <definedName name="elec33" localSheetId="1">#REF!</definedName>
    <definedName name="elec33" localSheetId="0">#REF!</definedName>
    <definedName name="elec33" localSheetId="3">#REF!</definedName>
    <definedName name="elec33">#REF!</definedName>
    <definedName name="elec34" localSheetId="1">#REF!</definedName>
    <definedName name="elec34" localSheetId="0">#REF!</definedName>
    <definedName name="elec34" localSheetId="3">#REF!</definedName>
    <definedName name="elec34">#REF!</definedName>
    <definedName name="elec35" localSheetId="1">#REF!</definedName>
    <definedName name="elec35" localSheetId="0">#REF!</definedName>
    <definedName name="elec35" localSheetId="3">#REF!</definedName>
    <definedName name="elec35">#REF!</definedName>
    <definedName name="elec36" localSheetId="1">#REF!</definedName>
    <definedName name="elec36" localSheetId="0">#REF!</definedName>
    <definedName name="elec36" localSheetId="3">#REF!</definedName>
    <definedName name="elec36">#REF!</definedName>
    <definedName name="elec37" localSheetId="1">#REF!</definedName>
    <definedName name="elec37" localSheetId="0">#REF!</definedName>
    <definedName name="elec37" localSheetId="3">#REF!</definedName>
    <definedName name="elec37">#REF!</definedName>
    <definedName name="elec38" localSheetId="1">#REF!</definedName>
    <definedName name="elec38" localSheetId="0">#REF!</definedName>
    <definedName name="elec38" localSheetId="3">#REF!</definedName>
    <definedName name="elec38">#REF!</definedName>
    <definedName name="elec39" localSheetId="1">#REF!</definedName>
    <definedName name="elec39" localSheetId="0">#REF!</definedName>
    <definedName name="elec39" localSheetId="3">#REF!</definedName>
    <definedName name="elec39">#REF!</definedName>
    <definedName name="elec4" localSheetId="1">#REF!</definedName>
    <definedName name="elec4" localSheetId="0">#REF!</definedName>
    <definedName name="elec4" localSheetId="3">#REF!</definedName>
    <definedName name="elec4">#REF!</definedName>
    <definedName name="elec40" localSheetId="1">#REF!</definedName>
    <definedName name="elec40" localSheetId="0">#REF!</definedName>
    <definedName name="elec40" localSheetId="3">#REF!</definedName>
    <definedName name="elec40">#REF!</definedName>
    <definedName name="elec41" localSheetId="1">#REF!</definedName>
    <definedName name="elec41" localSheetId="0">#REF!</definedName>
    <definedName name="elec41" localSheetId="3">#REF!</definedName>
    <definedName name="elec41">#REF!</definedName>
    <definedName name="elec42" localSheetId="1">#REF!</definedName>
    <definedName name="elec42" localSheetId="0">#REF!</definedName>
    <definedName name="elec42" localSheetId="3">#REF!</definedName>
    <definedName name="elec42">#REF!</definedName>
    <definedName name="elec43" localSheetId="1">#REF!</definedName>
    <definedName name="elec43" localSheetId="0">#REF!</definedName>
    <definedName name="elec43" localSheetId="3">#REF!</definedName>
    <definedName name="elec43">#REF!</definedName>
    <definedName name="elec44" localSheetId="1">#REF!</definedName>
    <definedName name="elec44" localSheetId="0">#REF!</definedName>
    <definedName name="elec44" localSheetId="3">#REF!</definedName>
    <definedName name="elec44">#REF!</definedName>
    <definedName name="elec5" localSheetId="1">#REF!</definedName>
    <definedName name="elec5" localSheetId="0">#REF!</definedName>
    <definedName name="elec5" localSheetId="3">#REF!</definedName>
    <definedName name="elec5">#REF!</definedName>
    <definedName name="elec6" localSheetId="1">#REF!</definedName>
    <definedName name="elec6" localSheetId="0">#REF!</definedName>
    <definedName name="elec6" localSheetId="3">#REF!</definedName>
    <definedName name="elec6">#REF!</definedName>
    <definedName name="elec7" localSheetId="1">#REF!</definedName>
    <definedName name="elec7" localSheetId="0">#REF!</definedName>
    <definedName name="elec7" localSheetId="3">#REF!</definedName>
    <definedName name="elec7">#REF!</definedName>
    <definedName name="elec8" localSheetId="1">#REF!</definedName>
    <definedName name="elec8" localSheetId="0">#REF!</definedName>
    <definedName name="elec8" localSheetId="3">#REF!</definedName>
    <definedName name="elec8">#REF!</definedName>
    <definedName name="elec9" localSheetId="1">#REF!</definedName>
    <definedName name="elec9" localSheetId="0">#REF!</definedName>
    <definedName name="elec9" localSheetId="3">#REF!</definedName>
    <definedName name="elec9">#REF!</definedName>
    <definedName name="ENS">[1]ENS!$B$2:$B$50</definedName>
    <definedName name="estuco10" localSheetId="1">#REF!</definedName>
    <definedName name="estuco10" localSheetId="0">#REF!</definedName>
    <definedName name="estuco10" localSheetId="3">#REF!</definedName>
    <definedName name="estuco10">#REF!</definedName>
    <definedName name="estuco11" localSheetId="1">#REF!</definedName>
    <definedName name="estuco11" localSheetId="0">#REF!</definedName>
    <definedName name="estuco11" localSheetId="3">#REF!</definedName>
    <definedName name="estuco11">#REF!</definedName>
    <definedName name="estuco12" localSheetId="1">#REF!</definedName>
    <definedName name="estuco12" localSheetId="0">#REF!</definedName>
    <definedName name="estuco12" localSheetId="3">#REF!</definedName>
    <definedName name="estuco12">#REF!</definedName>
    <definedName name="estuco13" localSheetId="1">#REF!</definedName>
    <definedName name="estuco13" localSheetId="0">#REF!</definedName>
    <definedName name="estuco13" localSheetId="3">#REF!</definedName>
    <definedName name="estuco13">#REF!</definedName>
    <definedName name="estuco14" localSheetId="1">#REF!</definedName>
    <definedName name="estuco14" localSheetId="0">#REF!</definedName>
    <definedName name="estuco14" localSheetId="3">#REF!</definedName>
    <definedName name="estuco14">#REF!</definedName>
    <definedName name="estuco15" localSheetId="1">#REF!</definedName>
    <definedName name="estuco15" localSheetId="0">#REF!</definedName>
    <definedName name="estuco15" localSheetId="3">#REF!</definedName>
    <definedName name="estuco15">#REF!</definedName>
    <definedName name="estuco16" localSheetId="1">#REF!</definedName>
    <definedName name="estuco16" localSheetId="0">#REF!</definedName>
    <definedName name="estuco16" localSheetId="3">#REF!</definedName>
    <definedName name="estuco16">#REF!</definedName>
    <definedName name="estuco17" localSheetId="1">#REF!</definedName>
    <definedName name="estuco17" localSheetId="0">#REF!</definedName>
    <definedName name="estuco17" localSheetId="3">#REF!</definedName>
    <definedName name="estuco17">#REF!</definedName>
    <definedName name="estuco18" localSheetId="1">#REF!</definedName>
    <definedName name="estuco18" localSheetId="0">#REF!</definedName>
    <definedName name="estuco18" localSheetId="3">#REF!</definedName>
    <definedName name="estuco18">#REF!</definedName>
    <definedName name="estuco19" localSheetId="1">#REF!</definedName>
    <definedName name="estuco19" localSheetId="0">#REF!</definedName>
    <definedName name="estuco19" localSheetId="3">#REF!</definedName>
    <definedName name="estuco19">#REF!</definedName>
    <definedName name="estuco2" localSheetId="1">#REF!</definedName>
    <definedName name="estuco2" localSheetId="0">#REF!</definedName>
    <definedName name="estuco2" localSheetId="3">#REF!</definedName>
    <definedName name="estuco2">#REF!</definedName>
    <definedName name="estuco20" localSheetId="1">#REF!</definedName>
    <definedName name="estuco20" localSheetId="0">#REF!</definedName>
    <definedName name="estuco20" localSheetId="3">#REF!</definedName>
    <definedName name="estuco20">#REF!</definedName>
    <definedName name="estuco21" localSheetId="1">#REF!</definedName>
    <definedName name="estuco21" localSheetId="0">#REF!</definedName>
    <definedName name="estuco21" localSheetId="3">#REF!</definedName>
    <definedName name="estuco21">#REF!</definedName>
    <definedName name="estuco22" localSheetId="1">#REF!</definedName>
    <definedName name="estuco22" localSheetId="0">#REF!</definedName>
    <definedName name="estuco22" localSheetId="3">#REF!</definedName>
    <definedName name="estuco22">#REF!</definedName>
    <definedName name="estuco23" localSheetId="1">#REF!</definedName>
    <definedName name="estuco23" localSheetId="0">#REF!</definedName>
    <definedName name="estuco23" localSheetId="3">#REF!</definedName>
    <definedName name="estuco23">#REF!</definedName>
    <definedName name="estuco3" localSheetId="1">#REF!</definedName>
    <definedName name="estuco3" localSheetId="0">#REF!</definedName>
    <definedName name="estuco3" localSheetId="3">#REF!</definedName>
    <definedName name="estuco3">#REF!</definedName>
    <definedName name="estuco4" localSheetId="1">#REF!</definedName>
    <definedName name="estuco4" localSheetId="0">#REF!</definedName>
    <definedName name="estuco4" localSheetId="3">#REF!</definedName>
    <definedName name="estuco4">#REF!</definedName>
    <definedName name="estuco5" localSheetId="1">#REF!</definedName>
    <definedName name="estuco5" localSheetId="0">#REF!</definedName>
    <definedName name="estuco5" localSheetId="3">#REF!</definedName>
    <definedName name="estuco5">#REF!</definedName>
    <definedName name="estuco6" localSheetId="1">#REF!</definedName>
    <definedName name="estuco6" localSheetId="0">#REF!</definedName>
    <definedName name="estuco6" localSheetId="3">#REF!</definedName>
    <definedName name="estuco6">#REF!</definedName>
    <definedName name="estuco7" localSheetId="1">#REF!</definedName>
    <definedName name="estuco7" localSheetId="0">#REF!</definedName>
    <definedName name="estuco7" localSheetId="3">#REF!</definedName>
    <definedName name="estuco7">#REF!</definedName>
    <definedName name="estuco8" localSheetId="1">#REF!</definedName>
    <definedName name="estuco8" localSheetId="0">#REF!</definedName>
    <definedName name="estuco8" localSheetId="3">#REF!</definedName>
    <definedName name="estuco8">#REF!</definedName>
    <definedName name="estuco9" localSheetId="1">#REF!</definedName>
    <definedName name="estuco9" localSheetId="0">#REF!</definedName>
    <definedName name="estuco9" localSheetId="3">#REF!</definedName>
    <definedName name="estuco9">#REF!</definedName>
    <definedName name="Exc_man_roca_agua_2_4m_bomb" localSheetId="1">#REF!</definedName>
    <definedName name="Exc_man_roca_agua_2_4m_bomb" localSheetId="0">#REF!</definedName>
    <definedName name="Exc_man_roca_agua_2_4m_bomb" localSheetId="3">#REF!</definedName>
    <definedName name="Exc_man_roca_agua_2_4m_bomb">#REF!</definedName>
    <definedName name="excava52" localSheetId="1">#REF!</definedName>
    <definedName name="excava52" localSheetId="0">#REF!</definedName>
    <definedName name="excava52" localSheetId="3">#REF!</definedName>
    <definedName name="excava52">#REF!</definedName>
    <definedName name="excava53" localSheetId="1">#REF!</definedName>
    <definedName name="excava53" localSheetId="0">#REF!</definedName>
    <definedName name="excava53" localSheetId="3">#REF!</definedName>
    <definedName name="excava53">#REF!</definedName>
    <definedName name="m_10" localSheetId="1">#REF!</definedName>
    <definedName name="m_10" localSheetId="0">#REF!</definedName>
    <definedName name="m_10" localSheetId="3">#REF!</definedName>
    <definedName name="m_10">#REF!</definedName>
    <definedName name="m_11" localSheetId="1">#REF!</definedName>
    <definedName name="m_11" localSheetId="0">#REF!</definedName>
    <definedName name="m_11" localSheetId="3">#REF!</definedName>
    <definedName name="m_11">#REF!</definedName>
    <definedName name="m_12" localSheetId="1">#REF!</definedName>
    <definedName name="m_12" localSheetId="0">#REF!</definedName>
    <definedName name="m_12" localSheetId="3">#REF!</definedName>
    <definedName name="m_12">#REF!</definedName>
    <definedName name="m_13" localSheetId="1">#REF!</definedName>
    <definedName name="m_13" localSheetId="0">#REF!</definedName>
    <definedName name="m_13" localSheetId="3">#REF!</definedName>
    <definedName name="m_13">#REF!</definedName>
    <definedName name="m_14" localSheetId="1">#REF!</definedName>
    <definedName name="m_14" localSheetId="0">#REF!</definedName>
    <definedName name="m_14" localSheetId="3">#REF!</definedName>
    <definedName name="m_14">#REF!</definedName>
    <definedName name="m_15" localSheetId="1">#REF!</definedName>
    <definedName name="m_15" localSheetId="0">#REF!</definedName>
    <definedName name="m_15" localSheetId="3">#REF!</definedName>
    <definedName name="m_15">#REF!</definedName>
    <definedName name="m_16" localSheetId="1">#REF!</definedName>
    <definedName name="m_16" localSheetId="0">#REF!</definedName>
    <definedName name="m_16" localSheetId="3">#REF!</definedName>
    <definedName name="m_16">#REF!</definedName>
    <definedName name="m_17" localSheetId="1">#REF!</definedName>
    <definedName name="m_17" localSheetId="0">#REF!</definedName>
    <definedName name="m_17" localSheetId="3">#REF!</definedName>
    <definedName name="m_17">#REF!</definedName>
    <definedName name="m_18" localSheetId="1">#REF!</definedName>
    <definedName name="m_18" localSheetId="0">#REF!</definedName>
    <definedName name="m_18" localSheetId="3">#REF!</definedName>
    <definedName name="m_18">#REF!</definedName>
    <definedName name="m_19" localSheetId="1">#REF!</definedName>
    <definedName name="m_19" localSheetId="0">#REF!</definedName>
    <definedName name="m_19" localSheetId="3">#REF!</definedName>
    <definedName name="m_19">#REF!</definedName>
    <definedName name="m_2" localSheetId="1">#REF!</definedName>
    <definedName name="m_2" localSheetId="0">#REF!</definedName>
    <definedName name="m_2" localSheetId="3">#REF!</definedName>
    <definedName name="m_2">#REF!</definedName>
    <definedName name="m_20" localSheetId="1">#REF!</definedName>
    <definedName name="m_20" localSheetId="0">#REF!</definedName>
    <definedName name="m_20" localSheetId="3">#REF!</definedName>
    <definedName name="m_20">#REF!</definedName>
    <definedName name="m_21" localSheetId="1">#REF!</definedName>
    <definedName name="m_21" localSheetId="0">#REF!</definedName>
    <definedName name="m_21" localSheetId="3">#REF!</definedName>
    <definedName name="m_21">#REF!</definedName>
    <definedName name="m_22" localSheetId="1">#REF!</definedName>
    <definedName name="m_22" localSheetId="0">#REF!</definedName>
    <definedName name="m_22" localSheetId="3">#REF!</definedName>
    <definedName name="m_22">#REF!</definedName>
    <definedName name="m_23" localSheetId="1">#REF!</definedName>
    <definedName name="m_23" localSheetId="0">#REF!</definedName>
    <definedName name="m_23" localSheetId="3">#REF!</definedName>
    <definedName name="m_23">#REF!</definedName>
    <definedName name="m_3" localSheetId="1">#REF!</definedName>
    <definedName name="m_3" localSheetId="0">#REF!</definedName>
    <definedName name="m_3" localSheetId="3">#REF!</definedName>
    <definedName name="m_3">#REF!</definedName>
    <definedName name="m_4" localSheetId="1">#REF!</definedName>
    <definedName name="m_4" localSheetId="0">#REF!</definedName>
    <definedName name="m_4" localSheetId="3">#REF!</definedName>
    <definedName name="m_4">#REF!</definedName>
    <definedName name="m_5" localSheetId="1">#REF!</definedName>
    <definedName name="m_5" localSheetId="0">#REF!</definedName>
    <definedName name="m_5" localSheetId="3">#REF!</definedName>
    <definedName name="m_5">#REF!</definedName>
    <definedName name="m_6" localSheetId="1">#REF!</definedName>
    <definedName name="m_6" localSheetId="0">#REF!</definedName>
    <definedName name="m_6" localSheetId="3">#REF!</definedName>
    <definedName name="m_6">#REF!</definedName>
    <definedName name="m_7" localSheetId="1">#REF!</definedName>
    <definedName name="m_7" localSheetId="0">#REF!</definedName>
    <definedName name="m_7" localSheetId="3">#REF!</definedName>
    <definedName name="m_7">#REF!</definedName>
    <definedName name="m_8" localSheetId="1">#REF!</definedName>
    <definedName name="m_8" localSheetId="0">#REF!</definedName>
    <definedName name="m_8" localSheetId="3">#REF!</definedName>
    <definedName name="m_8">#REF!</definedName>
    <definedName name="m_9" localSheetId="1">#REF!</definedName>
    <definedName name="m_9" localSheetId="0">#REF!</definedName>
    <definedName name="m_9" localSheetId="3">#REF!</definedName>
    <definedName name="m_9">#REF!</definedName>
    <definedName name="mobilurban2" localSheetId="1">#REF!</definedName>
    <definedName name="mobilurban2" localSheetId="0">#REF!</definedName>
    <definedName name="mobilurban2" localSheetId="3">#REF!</definedName>
    <definedName name="mobilurban2">#REF!</definedName>
    <definedName name="mobilurban3" localSheetId="1">#REF!</definedName>
    <definedName name="mobilurban3" localSheetId="0">#REF!</definedName>
    <definedName name="mobilurban3" localSheetId="3">#REF!</definedName>
    <definedName name="mobilurban3">#REF!</definedName>
    <definedName name="mobilurban4" localSheetId="1">#REF!</definedName>
    <definedName name="mobilurban4" localSheetId="0">#REF!</definedName>
    <definedName name="mobilurban4" localSheetId="3">#REF!</definedName>
    <definedName name="mobilurban4">#REF!</definedName>
    <definedName name="mobilurban5" localSheetId="1">#REF!</definedName>
    <definedName name="mobilurban5" localSheetId="0">#REF!</definedName>
    <definedName name="mobilurban5" localSheetId="3">#REF!</definedName>
    <definedName name="mobilurban5">#REF!</definedName>
    <definedName name="mobilurban6" localSheetId="1">#REF!</definedName>
    <definedName name="mobilurban6" localSheetId="0">#REF!</definedName>
    <definedName name="mobilurban6" localSheetId="3">#REF!</definedName>
    <definedName name="mobilurban6">#REF!</definedName>
    <definedName name="mobilurban7" localSheetId="1">#REF!</definedName>
    <definedName name="mobilurban7" localSheetId="0">#REF!</definedName>
    <definedName name="mobilurban7" localSheetId="3">#REF!</definedName>
    <definedName name="mobilurban7">#REF!</definedName>
    <definedName name="mobilurban8" localSheetId="1">#REF!</definedName>
    <definedName name="mobilurban8" localSheetId="0">#REF!</definedName>
    <definedName name="mobilurban8" localSheetId="3">#REF!</definedName>
    <definedName name="mobilurban8">#REF!</definedName>
    <definedName name="mobilurban9" localSheetId="1">#REF!</definedName>
    <definedName name="mobilurban9" localSheetId="0">#REF!</definedName>
    <definedName name="mobilurban9" localSheetId="3">#REF!</definedName>
    <definedName name="mobilurban9">#REF!</definedName>
    <definedName name="otros_2" localSheetId="1">#REF!</definedName>
    <definedName name="otros_2" localSheetId="0">#REF!</definedName>
    <definedName name="otros_2" localSheetId="3">#REF!</definedName>
    <definedName name="otros_2">#REF!</definedName>
    <definedName name="otros_3" localSheetId="1">#REF!</definedName>
    <definedName name="otros_3" localSheetId="0">#REF!</definedName>
    <definedName name="otros_3" localSheetId="3">#REF!</definedName>
    <definedName name="otros_3">#REF!</definedName>
    <definedName name="p_1" localSheetId="1">#REF!</definedName>
    <definedName name="p_1" localSheetId="0">#REF!</definedName>
    <definedName name="p_1" localSheetId="3">#REF!</definedName>
    <definedName name="p_1">#REF!</definedName>
    <definedName name="p_10" localSheetId="1">#REF!</definedName>
    <definedName name="p_10" localSheetId="0">#REF!</definedName>
    <definedName name="p_10" localSheetId="3">#REF!</definedName>
    <definedName name="p_10">#REF!</definedName>
    <definedName name="p_11" localSheetId="1">#REF!</definedName>
    <definedName name="p_11" localSheetId="0">#REF!</definedName>
    <definedName name="p_11" localSheetId="3">#REF!</definedName>
    <definedName name="p_11">#REF!</definedName>
    <definedName name="p_12" localSheetId="1">#REF!</definedName>
    <definedName name="p_12" localSheetId="0">#REF!</definedName>
    <definedName name="p_12" localSheetId="3">#REF!</definedName>
    <definedName name="p_12">#REF!</definedName>
    <definedName name="p_13" localSheetId="1">#REF!</definedName>
    <definedName name="p_13" localSheetId="0">#REF!</definedName>
    <definedName name="p_13" localSheetId="3">#REF!</definedName>
    <definedName name="p_13">#REF!</definedName>
    <definedName name="p_14" localSheetId="1">#REF!</definedName>
    <definedName name="p_14" localSheetId="0">#REF!</definedName>
    <definedName name="p_14" localSheetId="3">#REF!</definedName>
    <definedName name="p_14">#REF!</definedName>
    <definedName name="p_15" localSheetId="1">#REF!</definedName>
    <definedName name="p_15" localSheetId="0">#REF!</definedName>
    <definedName name="p_15" localSheetId="3">#REF!</definedName>
    <definedName name="p_15">#REF!</definedName>
    <definedName name="p_16" localSheetId="1">#REF!</definedName>
    <definedName name="p_16" localSheetId="0">#REF!</definedName>
    <definedName name="p_16" localSheetId="3">#REF!</definedName>
    <definedName name="p_16">#REF!</definedName>
    <definedName name="p_17" localSheetId="1">#REF!</definedName>
    <definedName name="p_17" localSheetId="0">#REF!</definedName>
    <definedName name="p_17" localSheetId="3">#REF!</definedName>
    <definedName name="p_17">#REF!</definedName>
    <definedName name="p_2" localSheetId="1">#REF!</definedName>
    <definedName name="p_2" localSheetId="0">#REF!</definedName>
    <definedName name="p_2" localSheetId="3">#REF!</definedName>
    <definedName name="p_2">#REF!</definedName>
    <definedName name="p_3" localSheetId="1">#REF!</definedName>
    <definedName name="p_3" localSheetId="0">#REF!</definedName>
    <definedName name="p_3" localSheetId="3">#REF!</definedName>
    <definedName name="p_3">#REF!</definedName>
    <definedName name="p_4" localSheetId="1">#REF!</definedName>
    <definedName name="p_4" localSheetId="0">#REF!</definedName>
    <definedName name="p_4" localSheetId="3">#REF!</definedName>
    <definedName name="p_4">#REF!</definedName>
    <definedName name="p_5" localSheetId="1">#REF!</definedName>
    <definedName name="p_5" localSheetId="0">#REF!</definedName>
    <definedName name="p_5" localSheetId="3">#REF!</definedName>
    <definedName name="p_5">#REF!</definedName>
    <definedName name="p_6" localSheetId="1">#REF!</definedName>
    <definedName name="p_6" localSheetId="0">#REF!</definedName>
    <definedName name="p_6" localSheetId="3">#REF!</definedName>
    <definedName name="p_6">#REF!</definedName>
    <definedName name="p_7" localSheetId="1">#REF!</definedName>
    <definedName name="p_7" localSheetId="0">#REF!</definedName>
    <definedName name="p_7" localSheetId="3">#REF!</definedName>
    <definedName name="p_7">#REF!</definedName>
    <definedName name="p_8" localSheetId="1">#REF!</definedName>
    <definedName name="p_8" localSheetId="0">#REF!</definedName>
    <definedName name="p_8" localSheetId="3">#REF!</definedName>
    <definedName name="p_8">#REF!</definedName>
    <definedName name="p_9" localSheetId="1">#REF!</definedName>
    <definedName name="p_9" localSheetId="0">#REF!</definedName>
    <definedName name="p_9" localSheetId="3">#REF!</definedName>
    <definedName name="p_9">#REF!</definedName>
    <definedName name="pis_1" localSheetId="1">#REF!</definedName>
    <definedName name="pis_1" localSheetId="0">#REF!</definedName>
    <definedName name="pis_1" localSheetId="3">#REF!</definedName>
    <definedName name="pis_1">#REF!</definedName>
    <definedName name="pis_10" localSheetId="1">#REF!</definedName>
    <definedName name="pis_10" localSheetId="0">#REF!</definedName>
    <definedName name="pis_10" localSheetId="3">#REF!</definedName>
    <definedName name="pis_10">#REF!</definedName>
    <definedName name="pis_11" localSheetId="1">#REF!</definedName>
    <definedName name="pis_11" localSheetId="0">#REF!</definedName>
    <definedName name="pis_11" localSheetId="3">#REF!</definedName>
    <definedName name="pis_11">#REF!</definedName>
    <definedName name="pis_12" localSheetId="1">#REF!</definedName>
    <definedName name="pis_12" localSheetId="0">#REF!</definedName>
    <definedName name="pis_12" localSheetId="3">#REF!</definedName>
    <definedName name="pis_12">#REF!</definedName>
    <definedName name="pis_13" localSheetId="1">#REF!</definedName>
    <definedName name="pis_13" localSheetId="0">#REF!</definedName>
    <definedName name="pis_13" localSheetId="3">#REF!</definedName>
    <definedName name="pis_13">#REF!</definedName>
    <definedName name="pis_14" localSheetId="1">#REF!</definedName>
    <definedName name="pis_14" localSheetId="0">#REF!</definedName>
    <definedName name="pis_14" localSheetId="3">#REF!</definedName>
    <definedName name="pis_14">#REF!</definedName>
    <definedName name="pis_15" localSheetId="1">#REF!</definedName>
    <definedName name="pis_15" localSheetId="0">#REF!</definedName>
    <definedName name="pis_15" localSheetId="3">#REF!</definedName>
    <definedName name="pis_15">#REF!</definedName>
    <definedName name="pis_16" localSheetId="1">#REF!</definedName>
    <definedName name="pis_16" localSheetId="0">#REF!</definedName>
    <definedName name="pis_16" localSheetId="3">#REF!</definedName>
    <definedName name="pis_16">#REF!</definedName>
    <definedName name="pis_17" localSheetId="1">#REF!</definedName>
    <definedName name="pis_17" localSheetId="0">#REF!</definedName>
    <definedName name="pis_17" localSheetId="3">#REF!</definedName>
    <definedName name="pis_17">#REF!</definedName>
    <definedName name="pis_18" localSheetId="1">#REF!</definedName>
    <definedName name="pis_18" localSheetId="0">#REF!</definedName>
    <definedName name="pis_18" localSheetId="3">#REF!</definedName>
    <definedName name="pis_18">#REF!</definedName>
    <definedName name="pis_19" localSheetId="1">#REF!</definedName>
    <definedName name="pis_19" localSheetId="0">#REF!</definedName>
    <definedName name="pis_19" localSheetId="3">#REF!</definedName>
    <definedName name="pis_19">#REF!</definedName>
    <definedName name="pis_2" localSheetId="1">#REF!</definedName>
    <definedName name="pis_2" localSheetId="0">#REF!</definedName>
    <definedName name="pis_2" localSheetId="3">#REF!</definedName>
    <definedName name="pis_2">#REF!</definedName>
    <definedName name="pis_20" localSheetId="1">#REF!</definedName>
    <definedName name="pis_20" localSheetId="0">#REF!</definedName>
    <definedName name="pis_20" localSheetId="3">#REF!</definedName>
    <definedName name="pis_20">#REF!</definedName>
    <definedName name="pis_21" localSheetId="1">#REF!</definedName>
    <definedName name="pis_21" localSheetId="0">#REF!</definedName>
    <definedName name="pis_21" localSheetId="3">#REF!</definedName>
    <definedName name="pis_21">#REF!</definedName>
    <definedName name="pis_22" localSheetId="1">#REF!</definedName>
    <definedName name="pis_22" localSheetId="0">#REF!</definedName>
    <definedName name="pis_22" localSheetId="3">#REF!</definedName>
    <definedName name="pis_22">#REF!</definedName>
    <definedName name="pis_23" localSheetId="1">#REF!</definedName>
    <definedName name="pis_23" localSheetId="0">#REF!</definedName>
    <definedName name="pis_23" localSheetId="3">#REF!</definedName>
    <definedName name="pis_23">#REF!</definedName>
    <definedName name="pis_24" localSheetId="1">#REF!</definedName>
    <definedName name="pis_24" localSheetId="0">#REF!</definedName>
    <definedName name="pis_24" localSheetId="3">#REF!</definedName>
    <definedName name="pis_24">#REF!</definedName>
    <definedName name="pis_25" localSheetId="1">#REF!</definedName>
    <definedName name="pis_25" localSheetId="0">#REF!</definedName>
    <definedName name="pis_25" localSheetId="3">#REF!</definedName>
    <definedName name="pis_25">#REF!</definedName>
    <definedName name="pis_267" localSheetId="1">#REF!</definedName>
    <definedName name="pis_267" localSheetId="0">#REF!</definedName>
    <definedName name="pis_267" localSheetId="3">#REF!</definedName>
    <definedName name="pis_267">#REF!</definedName>
    <definedName name="pis_27" localSheetId="1">#REF!</definedName>
    <definedName name="pis_27" localSheetId="0">#REF!</definedName>
    <definedName name="pis_27" localSheetId="3">#REF!</definedName>
    <definedName name="pis_27">#REF!</definedName>
    <definedName name="pis_28" localSheetId="1">#REF!</definedName>
    <definedName name="pis_28" localSheetId="0">#REF!</definedName>
    <definedName name="pis_28" localSheetId="3">#REF!</definedName>
    <definedName name="pis_28">#REF!</definedName>
    <definedName name="pis_29" localSheetId="1">#REF!</definedName>
    <definedName name="pis_29" localSheetId="0">#REF!</definedName>
    <definedName name="pis_29" localSheetId="3">#REF!</definedName>
    <definedName name="pis_29">#REF!</definedName>
    <definedName name="pis_3" localSheetId="1">#REF!</definedName>
    <definedName name="pis_3" localSheetId="0">#REF!</definedName>
    <definedName name="pis_3" localSheetId="3">#REF!</definedName>
    <definedName name="pis_3">#REF!</definedName>
    <definedName name="pis_30" localSheetId="1">#REF!</definedName>
    <definedName name="pis_30" localSheetId="0">#REF!</definedName>
    <definedName name="pis_30" localSheetId="3">#REF!</definedName>
    <definedName name="pis_30">#REF!</definedName>
    <definedName name="pis_31" localSheetId="1">#REF!</definedName>
    <definedName name="pis_31" localSheetId="0">#REF!</definedName>
    <definedName name="pis_31" localSheetId="3">#REF!</definedName>
    <definedName name="pis_31">#REF!</definedName>
    <definedName name="pis_32" localSheetId="1">#REF!</definedName>
    <definedName name="pis_32" localSheetId="0">#REF!</definedName>
    <definedName name="pis_32" localSheetId="3">#REF!</definedName>
    <definedName name="pis_32">#REF!</definedName>
    <definedName name="pis_33" localSheetId="1">#REF!</definedName>
    <definedName name="pis_33" localSheetId="0">#REF!</definedName>
    <definedName name="pis_33" localSheetId="3">#REF!</definedName>
    <definedName name="pis_33">#REF!</definedName>
    <definedName name="pis_34" localSheetId="1">#REF!</definedName>
    <definedName name="pis_34" localSheetId="0">#REF!</definedName>
    <definedName name="pis_34" localSheetId="3">#REF!</definedName>
    <definedName name="pis_34">#REF!</definedName>
    <definedName name="pis_4" localSheetId="1">#REF!</definedName>
    <definedName name="pis_4" localSheetId="0">#REF!</definedName>
    <definedName name="pis_4" localSheetId="3">#REF!</definedName>
    <definedName name="pis_4">#REF!</definedName>
    <definedName name="pis_5" localSheetId="1">#REF!</definedName>
    <definedName name="pis_5" localSheetId="0">#REF!</definedName>
    <definedName name="pis_5" localSheetId="3">#REF!</definedName>
    <definedName name="pis_5">#REF!</definedName>
    <definedName name="pis_6" localSheetId="1">#REF!</definedName>
    <definedName name="pis_6" localSheetId="0">#REF!</definedName>
    <definedName name="pis_6" localSheetId="3">#REF!</definedName>
    <definedName name="pis_6">#REF!</definedName>
    <definedName name="pis_8" localSheetId="1">#REF!</definedName>
    <definedName name="pis_8" localSheetId="0">#REF!</definedName>
    <definedName name="pis_8" localSheetId="3">#REF!</definedName>
    <definedName name="pis_8">#REF!</definedName>
    <definedName name="pis_9" localSheetId="1">#REF!</definedName>
    <definedName name="pis_9" localSheetId="0">#REF!</definedName>
    <definedName name="pis_9" localSheetId="3">#REF!</definedName>
    <definedName name="pis_9">#REF!</definedName>
    <definedName name="Placa_maciza_h0.08" localSheetId="1">#REF!</definedName>
    <definedName name="Placa_maciza_h0.08" localSheetId="0">#REF!</definedName>
    <definedName name="Placa_maciza_h0.08" localSheetId="3">#REF!</definedName>
    <definedName name="Placa_maciza_h0.08">#REF!</definedName>
    <definedName name="prelim_41" localSheetId="1">#REF!</definedName>
    <definedName name="prelim_41" localSheetId="0">#REF!</definedName>
    <definedName name="prelim_41" localSheetId="3">#REF!</definedName>
    <definedName name="prelim_41">#REF!</definedName>
    <definedName name="Punt_pvc_agua_1_2_ducha" localSheetId="1">#REF!</definedName>
    <definedName name="Punt_pvc_agua_1_2_ducha" localSheetId="0">#REF!</definedName>
    <definedName name="Punt_pvc_agua_1_2_ducha" localSheetId="3">#REF!</definedName>
    <definedName name="Punt_pvc_agua_1_2_ducha">#REF!</definedName>
    <definedName name="Punt_pvc_agua_1_2_lavam" localSheetId="1">#REF!</definedName>
    <definedName name="Punt_pvc_agua_1_2_lavam" localSheetId="0">#REF!</definedName>
    <definedName name="Punt_pvc_agua_1_2_lavam" localSheetId="3">#REF!</definedName>
    <definedName name="Punt_pvc_agua_1_2_lavam">#REF!</definedName>
    <definedName name="Red_sumin_pvc_2" localSheetId="1">#REF!</definedName>
    <definedName name="Red_sumin_pvc_2" localSheetId="0">#REF!</definedName>
    <definedName name="Red_sumin_pvc_2" localSheetId="3">#REF!</definedName>
    <definedName name="Red_sumin_pvc_2">#REF!</definedName>
    <definedName name="Sum_inst_red_hidr_pvc_1" localSheetId="1">#REF!</definedName>
    <definedName name="Sum_inst_red_hidr_pvc_1" localSheetId="0">#REF!</definedName>
    <definedName name="Sum_inst_red_hidr_pvc_1" localSheetId="3">#REF!</definedName>
    <definedName name="Sum_inst_red_hidr_pvc_1">#REF!</definedName>
    <definedName name="Sum_inst_red_hidr_pvc_1_2" localSheetId="1">#REF!</definedName>
    <definedName name="Sum_inst_red_hidr_pvc_1_2" localSheetId="0">#REF!</definedName>
    <definedName name="Sum_inst_red_hidr_pvc_1_2" localSheetId="3">#REF!</definedName>
    <definedName name="Sum_inst_red_hidr_pvc_1_2">#REF!</definedName>
    <definedName name="Sum_inst_red_hidrau_pvc_3_4" localSheetId="1">#REF!</definedName>
    <definedName name="Sum_inst_red_hidrau_pvc_3_4" localSheetId="0">#REF!</definedName>
    <definedName name="Sum_inst_red_hidrau_pvc_3_4" localSheetId="3">#REF!</definedName>
    <definedName name="Sum_inst_red_hidrau_pvc_3_4">#REF!</definedName>
    <definedName name="Sum_inst_tanq_elev_ac_1000" localSheetId="1">#REF!</definedName>
    <definedName name="Sum_inst_tanq_elev_ac_1000" localSheetId="0">#REF!</definedName>
    <definedName name="Sum_inst_tanq_elev_ac_1000" localSheetId="3">#REF!</definedName>
    <definedName name="Sum_inst_tanq_elev_ac_1000">#REF!</definedName>
    <definedName name="Sum_inst_tanq_elev_ac_250" localSheetId="1">#REF!</definedName>
    <definedName name="Sum_inst_tanq_elev_ac_250" localSheetId="0">#REF!</definedName>
    <definedName name="Sum_inst_tanq_elev_ac_250" localSheetId="3">#REF!</definedName>
    <definedName name="Sum_inst_tanq_elev_ac_250">#REF!</definedName>
    <definedName name="Sum_inst_tanq_elev_ac_500" localSheetId="1">#REF!</definedName>
    <definedName name="Sum_inst_tanq_elev_ac_500" localSheetId="0">#REF!</definedName>
    <definedName name="Sum_inst_tanq_elev_ac_500" localSheetId="3">#REF!</definedName>
    <definedName name="Sum_inst_tanq_elev_ac_500">#REF!</definedName>
    <definedName name="Sum_inst_tanq_elev_plast_1000" localSheetId="1">#REF!</definedName>
    <definedName name="Sum_inst_tanq_elev_plast_1000" localSheetId="0">#REF!</definedName>
    <definedName name="Sum_inst_tanq_elev_plast_1000" localSheetId="3">#REF!</definedName>
    <definedName name="Sum_inst_tanq_elev_plast_1000">#REF!</definedName>
    <definedName name="Sum_inst_tanq_elev_plast_250" localSheetId="1">#REF!</definedName>
    <definedName name="Sum_inst_tanq_elev_plast_250" localSheetId="0">#REF!</definedName>
    <definedName name="Sum_inst_tanq_elev_plast_250" localSheetId="3">#REF!</definedName>
    <definedName name="Sum_inst_tanq_elev_plast_250">#REF!</definedName>
    <definedName name="Sum_inst_tanq_elev_plast_500" localSheetId="1">#REF!</definedName>
    <definedName name="Sum_inst_tanq_elev_plast_500" localSheetId="0">#REF!</definedName>
    <definedName name="Sum_inst_tanq_elev_plast_500" localSheetId="3">#REF!</definedName>
    <definedName name="Sum_inst_tanq_elev_plast_500">#REF!</definedName>
    <definedName name="Sumin_inst_llav_registr_3_4" localSheetId="1">#REF!</definedName>
    <definedName name="Sumin_inst_llav_registr_3_4" localSheetId="0">#REF!</definedName>
    <definedName name="Sumin_inst_llav_registr_3_4" localSheetId="3">#REF!</definedName>
    <definedName name="Sumin_inst_llav_registr_3_4">#REF!</definedName>
    <definedName name="Suminis_inst_red_sanit_pvc2" localSheetId="1">#REF!</definedName>
    <definedName name="Suminis_inst_red_sanit_pvc2" localSheetId="0">#REF!</definedName>
    <definedName name="Suminis_inst_red_sanit_pvc2" localSheetId="3">#REF!</definedName>
    <definedName name="Suminis_inst_red_sanit_pvc2">#REF!</definedName>
    <definedName name="Suminist_instal_rejilla_piso" localSheetId="1">#REF!</definedName>
    <definedName name="Suminist_instal_rejilla_piso" localSheetId="0">#REF!</definedName>
    <definedName name="Suminist_instal_rejilla_piso" localSheetId="3">#REF!</definedName>
    <definedName name="Suminist_instal_rejilla_piso">#REF!</definedName>
    <definedName name="Sumn_inst_red_sanit_pvc4" localSheetId="1">#REF!</definedName>
    <definedName name="Sumn_inst_red_sanit_pvc4" localSheetId="0">#REF!</definedName>
    <definedName name="Sumn_inst_red_sanit_pvc4" localSheetId="3">#REF!</definedName>
    <definedName name="Sumn_inst_red_sanit_pvc4">#REF!</definedName>
    <definedName name="Sumn_inst_red_sanit_pvc6" localSheetId="1">#REF!</definedName>
    <definedName name="Sumn_inst_red_sanit_pvc6" localSheetId="0">#REF!</definedName>
    <definedName name="Sumn_inst_red_sanit_pvc6" localSheetId="3">#REF!</definedName>
    <definedName name="Sumn_inst_red_sanit_pvc6">#REF!</definedName>
    <definedName name="TEC">[1]PERSTECNI!$A$2:$A$15</definedName>
    <definedName name="_xlnm.Print_Titles" localSheetId="2">'Ppto Detallado 2016 - 2019'!$1:$1</definedName>
    <definedName name="_xlnm.Print_Titles" localSheetId="1">'Ppto Detallado 2017'!$1:$1</definedName>
    <definedName name="_xlnm.Print_Titles" localSheetId="0">'Ppto Ejecutado 2016'!$1:$1</definedName>
    <definedName name="TRANS">[1]TRANS!$A$1:$A$65536</definedName>
    <definedName name="Tuber_aguas_negr_pvc3" localSheetId="1">#REF!</definedName>
    <definedName name="Tuber_aguas_negr_pvc3" localSheetId="0">#REF!</definedName>
    <definedName name="Tuber_aguas_negr_pvc3" localSheetId="3">#REF!</definedName>
    <definedName name="Tuber_aguas_negr_pvc3">#REF!</definedName>
    <definedName name="Tuberia_ag_lluv_pvc_3" localSheetId="1">#REF!</definedName>
    <definedName name="Tuberia_ag_lluv_pvc_3" localSheetId="0">#REF!</definedName>
    <definedName name="Tuberia_ag_lluv_pvc_3" localSheetId="3">#REF!</definedName>
    <definedName name="Tuberia_ag_lluv_pvc_3">#REF!</definedName>
    <definedName name="Tuberia_revintila_pvc3" localSheetId="1">#REF!</definedName>
    <definedName name="Tuberia_revintila_pvc3" localSheetId="0">#REF!</definedName>
    <definedName name="Tuberia_revintila_pvc3" localSheetId="3">#REF!</definedName>
    <definedName name="Tuberia_revintila_pvc3">#REF!</definedName>
    <definedName name="vias2" localSheetId="1">#REF!</definedName>
    <definedName name="vias2" localSheetId="0">#REF!</definedName>
    <definedName name="vias2" localSheetId="3">#REF!</definedName>
    <definedName name="vias2">#REF!</definedName>
    <definedName name="vias3" localSheetId="1">#REF!</definedName>
    <definedName name="vias3" localSheetId="0">#REF!</definedName>
    <definedName name="vias3" localSheetId="3">#REF!</definedName>
    <definedName name="vias3">#REF!</definedName>
    <definedName name="vias4" localSheetId="1">#REF!</definedName>
    <definedName name="vias4" localSheetId="0">#REF!</definedName>
    <definedName name="vias4" localSheetId="3">#REF!</definedName>
    <definedName name="vias4">#REF!</definedName>
    <definedName name="vias5" localSheetId="1">#REF!</definedName>
    <definedName name="vias5" localSheetId="0">#REF!</definedName>
    <definedName name="vias5" localSheetId="3">#REF!</definedName>
    <definedName name="vias5">#REF!</definedName>
    <definedName name="vias6" localSheetId="1">#REF!</definedName>
    <definedName name="vias6" localSheetId="0">#REF!</definedName>
    <definedName name="vias6" localSheetId="3">#REF!</definedName>
    <definedName name="vias6">#REF!</definedName>
    <definedName name="vias7" localSheetId="1">#REF!</definedName>
    <definedName name="vias7" localSheetId="0">#REF!</definedName>
    <definedName name="vias7" localSheetId="3">#REF!</definedName>
    <definedName name="vias7">#REF!</definedName>
    <definedName name="vias8" localSheetId="1">#REF!</definedName>
    <definedName name="vias8" localSheetId="0">#REF!</definedName>
    <definedName name="vias8" localSheetId="3">#REF!</definedName>
    <definedName name="vias8">#REF!</definedName>
    <definedName name="vias9" localSheetId="1">#REF!</definedName>
    <definedName name="vias9" localSheetId="0">#REF!</definedName>
    <definedName name="vias9" localSheetId="3">#REF!</definedName>
    <definedName name="vias9">#REF!</definedName>
    <definedName name="Viga_0.20x0.36" localSheetId="1">#REF!</definedName>
    <definedName name="Viga_0.20x0.36" localSheetId="0">#REF!</definedName>
    <definedName name="Viga_0.20x0.36" localSheetId="3">#REF!</definedName>
    <definedName name="Viga_0.20x0.36">#REF!</definedName>
    <definedName name="Viga_aerea_0.10x0.20" localSheetId="1">#REF!</definedName>
    <definedName name="Viga_aerea_0.10x0.20" localSheetId="0">#REF!</definedName>
    <definedName name="Viga_aerea_0.10x0.20" localSheetId="3">#REF!</definedName>
    <definedName name="Viga_aerea_0.10x0.20">#REF!</definedName>
    <definedName name="Viga_amarre_0.12x0.20" localSheetId="1">#REF!</definedName>
    <definedName name="Viga_amarre_0.12x0.20" localSheetId="0">#REF!</definedName>
    <definedName name="Viga_amarre_0.12x0.20" localSheetId="3">#REF!</definedName>
    <definedName name="Viga_amarre_0.12x0.20">#REF!</definedName>
    <definedName name="Viga_amarre_0.12x0.25" localSheetId="1">#REF!</definedName>
    <definedName name="Viga_amarre_0.12x0.25" localSheetId="0">#REF!</definedName>
    <definedName name="Viga_amarre_0.12x0.25" localSheetId="3">#REF!</definedName>
    <definedName name="Viga_amarre_0.12x0.25">#REF!</definedName>
    <definedName name="Viga_amarre_0.12x0.30" localSheetId="1">#REF!</definedName>
    <definedName name="Viga_amarre_0.12x0.30" localSheetId="0">#REF!</definedName>
    <definedName name="Viga_amarre_0.12x0.30" localSheetId="3">#REF!</definedName>
    <definedName name="Viga_amarre_0.12x0.30">#REF!</definedName>
    <definedName name="Viga_amarre_0.12x0.30_4" localSheetId="1">#REF!</definedName>
    <definedName name="Viga_amarre_0.12x0.30_4" localSheetId="0">#REF!</definedName>
    <definedName name="Viga_amarre_0.12x0.30_4" localSheetId="3">#REF!</definedName>
    <definedName name="Viga_amarre_0.12x0.30_4">#REF!</definedName>
    <definedName name="Viga_amarre_0.15x0.30" localSheetId="1">#REF!</definedName>
    <definedName name="Viga_amarre_0.15x0.30" localSheetId="0">#REF!</definedName>
    <definedName name="Viga_amarre_0.15x0.30" localSheetId="3">#REF!</definedName>
    <definedName name="Viga_amarre_0.15x0.30">#REF!</definedName>
    <definedName name="Viga_amarre_0.20x0.25" localSheetId="1">#REF!</definedName>
    <definedName name="Viga_amarre_0.20x0.25" localSheetId="0">#REF!</definedName>
    <definedName name="Viga_amarre_0.20x0.25" localSheetId="3">#REF!</definedName>
    <definedName name="Viga_amarre_0.20x0.25">#REF!</definedName>
    <definedName name="Viga_correa_0.08x0.20" localSheetId="1">#REF!</definedName>
    <definedName name="Viga_correa_0.08x0.20" localSheetId="0">#REF!</definedName>
    <definedName name="Viga_correa_0.08x0.20" localSheetId="3">#REF!</definedName>
    <definedName name="Viga_correa_0.08x0.20">#REF!</definedName>
  </definedNames>
  <calcPr calcId="152511"/>
</workbook>
</file>

<file path=xl/calcChain.xml><?xml version="1.0" encoding="utf-8"?>
<calcChain xmlns="http://schemas.openxmlformats.org/spreadsheetml/2006/main">
  <c r="D21" i="47" l="1"/>
  <c r="D12" i="47"/>
  <c r="F25" i="50"/>
  <c r="F24" i="50"/>
  <c r="G20" i="50"/>
  <c r="G17" i="50"/>
  <c r="F11" i="50"/>
  <c r="G21" i="50" l="1"/>
  <c r="G11" i="50"/>
  <c r="K24" i="49" l="1"/>
  <c r="K23" i="49"/>
  <c r="L19" i="49"/>
  <c r="L20" i="49" s="1"/>
  <c r="G19" i="49"/>
  <c r="G20" i="49" s="1"/>
  <c r="G12" i="49"/>
  <c r="G11" i="49"/>
  <c r="L17" i="3"/>
  <c r="G13" i="49" l="1"/>
  <c r="G21" i="49" s="1"/>
  <c r="G14" i="46" l="1"/>
  <c r="L42" i="33"/>
  <c r="J42" i="33"/>
  <c r="H42" i="33"/>
  <c r="F42" i="33"/>
  <c r="L7" i="35" l="1"/>
  <c r="L8" i="35"/>
  <c r="L9" i="35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6" i="35"/>
  <c r="P20" i="3"/>
  <c r="U20" i="3" s="1"/>
  <c r="G41" i="48" l="1"/>
  <c r="E20" i="47" l="1"/>
  <c r="E17" i="47"/>
  <c r="E11" i="47"/>
  <c r="E10" i="47"/>
  <c r="D22" i="47" l="1"/>
  <c r="H7" i="46" l="1"/>
  <c r="H41" i="46" l="1"/>
  <c r="G37" i="46"/>
  <c r="H37" i="46" s="1"/>
  <c r="H38" i="46" s="1"/>
  <c r="G33" i="46"/>
  <c r="H33" i="46" s="1"/>
  <c r="H34" i="46" s="1"/>
  <c r="I34" i="46" s="1"/>
  <c r="H28" i="46"/>
  <c r="H27" i="46"/>
  <c r="H26" i="46"/>
  <c r="H25" i="46"/>
  <c r="H24" i="46"/>
  <c r="H23" i="46"/>
  <c r="H22" i="46"/>
  <c r="H21" i="46"/>
  <c r="H20" i="46"/>
  <c r="H16" i="46"/>
  <c r="H15" i="46"/>
  <c r="H14" i="46"/>
  <c r="H8" i="46"/>
  <c r="H6" i="46"/>
  <c r="H5" i="46"/>
  <c r="H17" i="46" l="1"/>
  <c r="H9" i="46"/>
  <c r="H29" i="46" s="1"/>
  <c r="I29" i="46" s="1"/>
  <c r="I38" i="46"/>
  <c r="H40" i="46" l="1"/>
  <c r="I40" i="46"/>
  <c r="H42" i="46" l="1"/>
  <c r="L20" i="3" l="1"/>
  <c r="L21" i="3" s="1"/>
  <c r="D11" i="45" l="1"/>
  <c r="E49" i="44" l="1"/>
  <c r="E24" i="44"/>
  <c r="E28" i="44" s="1"/>
  <c r="E10" i="44"/>
  <c r="E9" i="44"/>
  <c r="H27" i="43"/>
  <c r="I21" i="43"/>
  <c r="I20" i="43"/>
  <c r="I19" i="43"/>
  <c r="AN94" i="42"/>
  <c r="AF94" i="42"/>
  <c r="X94" i="42"/>
  <c r="P94" i="42"/>
  <c r="AR87" i="42"/>
  <c r="AP87" i="42"/>
  <c r="AQ87" i="42" s="1"/>
  <c r="AN87" i="42"/>
  <c r="AL87" i="42"/>
  <c r="AJ87" i="42"/>
  <c r="AH87" i="42"/>
  <c r="AF87" i="42"/>
  <c r="AD87" i="42"/>
  <c r="AB87" i="42"/>
  <c r="Z87" i="42"/>
  <c r="AA87" i="42" s="1"/>
  <c r="X87" i="42"/>
  <c r="V87" i="42"/>
  <c r="T87" i="42"/>
  <c r="R87" i="42"/>
  <c r="S87" i="42" s="1"/>
  <c r="P87" i="42"/>
  <c r="N87" i="42"/>
  <c r="L87" i="42"/>
  <c r="AD86" i="42"/>
  <c r="AB86" i="42"/>
  <c r="Z86" i="42"/>
  <c r="AA86" i="42" s="1"/>
  <c r="X86" i="42"/>
  <c r="V86" i="42"/>
  <c r="T86" i="42"/>
  <c r="R86" i="42"/>
  <c r="S86" i="42" s="1"/>
  <c r="P86" i="42"/>
  <c r="N86" i="42"/>
  <c r="AP83" i="42"/>
  <c r="AL83" i="42"/>
  <c r="AD83" i="42"/>
  <c r="Z83" i="42"/>
  <c r="V83" i="42"/>
  <c r="R83" i="42"/>
  <c r="N83" i="42"/>
  <c r="AP78" i="42"/>
  <c r="Z78" i="42"/>
  <c r="R78" i="42"/>
  <c r="N78" i="42"/>
  <c r="AP75" i="42"/>
  <c r="AL75" i="42"/>
  <c r="AD75" i="42"/>
  <c r="Z75" i="42"/>
  <c r="V75" i="42"/>
  <c r="R75" i="42"/>
  <c r="N75" i="42"/>
  <c r="AP74" i="42"/>
  <c r="AP81" i="42" s="1"/>
  <c r="AP82" i="42" s="1"/>
  <c r="AQ82" i="42" s="1"/>
  <c r="AL74" i="42"/>
  <c r="AL81" i="42" s="1"/>
  <c r="AM81" i="42" s="1"/>
  <c r="AD74" i="42"/>
  <c r="AD81" i="42" s="1"/>
  <c r="AE81" i="42" s="1"/>
  <c r="Z74" i="42"/>
  <c r="Z81" i="42" s="1"/>
  <c r="Z82" i="42" s="1"/>
  <c r="AA82" i="42" s="1"/>
  <c r="V74" i="42"/>
  <c r="V81" i="42" s="1"/>
  <c r="W81" i="42" s="1"/>
  <c r="R74" i="42"/>
  <c r="R81" i="42" s="1"/>
  <c r="R82" i="42" s="1"/>
  <c r="S82" i="42" s="1"/>
  <c r="N74" i="42"/>
  <c r="N81" i="42" s="1"/>
  <c r="O81" i="42" s="1"/>
  <c r="AD73" i="42"/>
  <c r="AB73" i="42"/>
  <c r="Z73" i="42"/>
  <c r="X73" i="42"/>
  <c r="V73" i="42"/>
  <c r="T73" i="42"/>
  <c r="R73" i="42"/>
  <c r="P73" i="42"/>
  <c r="N73" i="42"/>
  <c r="AR72" i="42"/>
  <c r="AP72" i="42"/>
  <c r="AN72" i="42"/>
  <c r="AJ72" i="42"/>
  <c r="AF72" i="42"/>
  <c r="AD72" i="42"/>
  <c r="AB72" i="42"/>
  <c r="Z72" i="42"/>
  <c r="X72" i="42"/>
  <c r="V72" i="42"/>
  <c r="T72" i="42"/>
  <c r="R72" i="42"/>
  <c r="P72" i="42"/>
  <c r="N72" i="42"/>
  <c r="G72" i="42"/>
  <c r="AL70" i="42"/>
  <c r="AL72" i="42" s="1"/>
  <c r="AH70" i="42"/>
  <c r="AH72" i="42" s="1"/>
  <c r="AH83" i="42" s="1"/>
  <c r="G70" i="42"/>
  <c r="S68" i="42"/>
  <c r="Q68" i="42" s="1"/>
  <c r="AB79" i="42" s="1"/>
  <c r="G68" i="42"/>
  <c r="G66" i="42"/>
  <c r="G65" i="42"/>
  <c r="G71" i="42" s="1"/>
  <c r="M52" i="42"/>
  <c r="M51" i="42"/>
  <c r="G34" i="42"/>
  <c r="D33" i="42"/>
  <c r="N32" i="42"/>
  <c r="N27" i="42"/>
  <c r="N26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D12" i="42"/>
  <c r="H11" i="42"/>
  <c r="D11" i="42"/>
  <c r="H10" i="42"/>
  <c r="D10" i="42"/>
  <c r="H9" i="42"/>
  <c r="D9" i="42"/>
  <c r="H8" i="42"/>
  <c r="D8" i="42"/>
  <c r="G148" i="41"/>
  <c r="G138" i="41"/>
  <c r="G140" i="41" s="1"/>
  <c r="G129" i="41"/>
  <c r="G128" i="41"/>
  <c r="G127" i="41"/>
  <c r="E119" i="41"/>
  <c r="G119" i="41" s="1"/>
  <c r="G121" i="41" s="1"/>
  <c r="C113" i="41"/>
  <c r="C112" i="41"/>
  <c r="G99" i="41"/>
  <c r="G98" i="41"/>
  <c r="G97" i="41"/>
  <c r="G96" i="41"/>
  <c r="G95" i="41"/>
  <c r="G94" i="41"/>
  <c r="G93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69" i="41"/>
  <c r="G68" i="41"/>
  <c r="G67" i="41"/>
  <c r="G66" i="41"/>
  <c r="G65" i="41"/>
  <c r="G64" i="41"/>
  <c r="G63" i="41"/>
  <c r="G39" i="41"/>
  <c r="G38" i="41"/>
  <c r="G37" i="41"/>
  <c r="G36" i="41"/>
  <c r="G35" i="41"/>
  <c r="G25" i="41"/>
  <c r="G24" i="41"/>
  <c r="G23" i="41"/>
  <c r="G15" i="41"/>
  <c r="G14" i="41"/>
  <c r="G13" i="41"/>
  <c r="B5" i="41"/>
  <c r="B56" i="41" s="1"/>
  <c r="B111" i="41" s="1"/>
  <c r="G431" i="40"/>
  <c r="G421" i="40"/>
  <c r="G423" i="40" s="1"/>
  <c r="G415" i="40"/>
  <c r="E402" i="40"/>
  <c r="G402" i="40" s="1"/>
  <c r="G401" i="40"/>
  <c r="G375" i="40"/>
  <c r="G377" i="40" s="1"/>
  <c r="G367" i="40"/>
  <c r="G369" i="40" s="1"/>
  <c r="G354" i="40"/>
  <c r="G361" i="40" s="1"/>
  <c r="G348" i="40"/>
  <c r="E320" i="40"/>
  <c r="G320" i="40" s="1"/>
  <c r="G322" i="40" s="1"/>
  <c r="G313" i="40"/>
  <c r="G312" i="40"/>
  <c r="F303" i="40"/>
  <c r="G303" i="40" s="1"/>
  <c r="G302" i="40"/>
  <c r="G301" i="40"/>
  <c r="G300" i="40"/>
  <c r="G299" i="40"/>
  <c r="G298" i="40"/>
  <c r="G291" i="40"/>
  <c r="G290" i="40"/>
  <c r="E289" i="40"/>
  <c r="G289" i="40" s="1"/>
  <c r="G265" i="40"/>
  <c r="G267" i="40" s="1"/>
  <c r="G258" i="40"/>
  <c r="G257" i="40"/>
  <c r="G248" i="40"/>
  <c r="G247" i="40"/>
  <c r="G246" i="40"/>
  <c r="G245" i="40"/>
  <c r="G244" i="40"/>
  <c r="G243" i="40"/>
  <c r="G242" i="40"/>
  <c r="E234" i="40"/>
  <c r="G234" i="40" s="1"/>
  <c r="G236" i="40" s="1"/>
  <c r="G210" i="40"/>
  <c r="G212" i="40" s="1"/>
  <c r="G203" i="40"/>
  <c r="G202" i="40"/>
  <c r="G193" i="40"/>
  <c r="G192" i="40"/>
  <c r="G191" i="40"/>
  <c r="G190" i="40"/>
  <c r="G189" i="40"/>
  <c r="G188" i="40"/>
  <c r="G187" i="40"/>
  <c r="E179" i="40"/>
  <c r="G179" i="40" s="1"/>
  <c r="G181" i="40" s="1"/>
  <c r="G156" i="40"/>
  <c r="G158" i="40" s="1"/>
  <c r="G149" i="40"/>
  <c r="G148" i="40"/>
  <c r="G139" i="40"/>
  <c r="G138" i="40"/>
  <c r="G137" i="40"/>
  <c r="G136" i="40"/>
  <c r="G129" i="40"/>
  <c r="G128" i="40"/>
  <c r="G127" i="40"/>
  <c r="G126" i="40"/>
  <c r="G125" i="40"/>
  <c r="G100" i="40"/>
  <c r="G102" i="40" s="1"/>
  <c r="G93" i="40"/>
  <c r="G92" i="40"/>
  <c r="G83" i="40"/>
  <c r="G82" i="40"/>
  <c r="G81" i="40"/>
  <c r="G80" i="40"/>
  <c r="G73" i="40"/>
  <c r="G72" i="40"/>
  <c r="G71" i="40"/>
  <c r="G70" i="40"/>
  <c r="G69" i="40"/>
  <c r="B61" i="40"/>
  <c r="B171" i="40" s="1"/>
  <c r="B226" i="40" s="1"/>
  <c r="B281" i="40" s="1"/>
  <c r="B338" i="40" s="1"/>
  <c r="B393" i="40" s="1"/>
  <c r="G42" i="40"/>
  <c r="G44" i="40" s="1"/>
  <c r="G35" i="40"/>
  <c r="G34" i="40"/>
  <c r="F24" i="40"/>
  <c r="G24" i="40" s="1"/>
  <c r="G28" i="40" s="1"/>
  <c r="G15" i="40"/>
  <c r="G18" i="40" s="1"/>
  <c r="G363" i="39"/>
  <c r="E362" i="39"/>
  <c r="G362" i="39" s="1"/>
  <c r="G355" i="39"/>
  <c r="G354" i="39"/>
  <c r="G344" i="39"/>
  <c r="G343" i="39"/>
  <c r="G333" i="39"/>
  <c r="G337" i="39" s="1"/>
  <c r="G310" i="39"/>
  <c r="G311" i="39" s="1"/>
  <c r="G303" i="39"/>
  <c r="G302" i="39"/>
  <c r="G290" i="39"/>
  <c r="G289" i="39"/>
  <c r="G288" i="39"/>
  <c r="G279" i="39"/>
  <c r="G282" i="39" s="1"/>
  <c r="C273" i="39"/>
  <c r="C272" i="39"/>
  <c r="G253" i="39"/>
  <c r="G243" i="39"/>
  <c r="G245" i="39" s="1"/>
  <c r="G232" i="39"/>
  <c r="G237" i="39" s="1"/>
  <c r="G226" i="39"/>
  <c r="C216" i="39"/>
  <c r="G201" i="39"/>
  <c r="G191" i="39"/>
  <c r="G193" i="39" s="1"/>
  <c r="G180" i="39"/>
  <c r="G185" i="39" s="1"/>
  <c r="G174" i="39"/>
  <c r="K153" i="39"/>
  <c r="G151" i="39"/>
  <c r="G141" i="39"/>
  <c r="G143" i="39" s="1"/>
  <c r="G126" i="39"/>
  <c r="G135" i="39" s="1"/>
  <c r="G120" i="39"/>
  <c r="C112" i="39"/>
  <c r="C111" i="39"/>
  <c r="G93" i="39"/>
  <c r="G95" i="39" s="1"/>
  <c r="G86" i="39"/>
  <c r="G85" i="39"/>
  <c r="G76" i="39"/>
  <c r="G75" i="39"/>
  <c r="G74" i="39"/>
  <c r="G73" i="39"/>
  <c r="G66" i="39"/>
  <c r="E65" i="39"/>
  <c r="G65" i="39" s="1"/>
  <c r="C59" i="39"/>
  <c r="G42" i="39"/>
  <c r="G44" i="39" s="1"/>
  <c r="G35" i="39"/>
  <c r="G34" i="39"/>
  <c r="G25" i="39"/>
  <c r="G24" i="39"/>
  <c r="G23" i="39"/>
  <c r="G22" i="39"/>
  <c r="G14" i="39"/>
  <c r="E13" i="39"/>
  <c r="G13" i="39" s="1"/>
  <c r="C7" i="39"/>
  <c r="C6" i="39"/>
  <c r="G138" i="38"/>
  <c r="G139" i="38" s="1"/>
  <c r="G131" i="38"/>
  <c r="G130" i="38"/>
  <c r="G121" i="38"/>
  <c r="G120" i="38"/>
  <c r="G112" i="38"/>
  <c r="G114" i="38" s="1"/>
  <c r="G90" i="38"/>
  <c r="G92" i="38" s="1"/>
  <c r="G83" i="38"/>
  <c r="G82" i="38"/>
  <c r="G73" i="38"/>
  <c r="G72" i="38"/>
  <c r="G62" i="38"/>
  <c r="G66" i="38" s="1"/>
  <c r="G41" i="38"/>
  <c r="G42" i="38" s="1"/>
  <c r="G34" i="38"/>
  <c r="G33" i="38"/>
  <c r="G27" i="38"/>
  <c r="G16" i="38"/>
  <c r="G15" i="38"/>
  <c r="G13" i="38"/>
  <c r="B5" i="38"/>
  <c r="G149" i="37"/>
  <c r="G151" i="37" s="1"/>
  <c r="G141" i="37"/>
  <c r="G143" i="37" s="1"/>
  <c r="G135" i="37"/>
  <c r="G124" i="37"/>
  <c r="G123" i="37"/>
  <c r="G125" i="37" s="1"/>
  <c r="G122" i="37"/>
  <c r="B114" i="37"/>
  <c r="G100" i="37"/>
  <c r="G99" i="37"/>
  <c r="G101" i="37" s="1"/>
  <c r="G92" i="37"/>
  <c r="G91" i="37"/>
  <c r="G93" i="37" s="1"/>
  <c r="G82" i="37"/>
  <c r="G81" i="37"/>
  <c r="G80" i="37"/>
  <c r="G79" i="37"/>
  <c r="G85" i="37" s="1"/>
  <c r="G68" i="37"/>
  <c r="G67" i="37"/>
  <c r="G73" i="37" s="1"/>
  <c r="G103" i="37" s="1"/>
  <c r="G105" i="37" s="1"/>
  <c r="B59" i="37"/>
  <c r="G44" i="37"/>
  <c r="G36" i="37"/>
  <c r="G35" i="37"/>
  <c r="G34" i="37"/>
  <c r="G37" i="37" s="1"/>
  <c r="G29" i="37"/>
  <c r="G14" i="37"/>
  <c r="G12" i="37"/>
  <c r="G18" i="37" s="1"/>
  <c r="G275" i="36"/>
  <c r="G277" i="36" s="1"/>
  <c r="G268" i="36"/>
  <c r="G267" i="36"/>
  <c r="G250" i="36"/>
  <c r="G249" i="36"/>
  <c r="G248" i="36"/>
  <c r="C242" i="36"/>
  <c r="C241" i="36"/>
  <c r="G219" i="36"/>
  <c r="G217" i="36"/>
  <c r="G210" i="36"/>
  <c r="G209" i="36"/>
  <c r="G211" i="36" s="1"/>
  <c r="G203" i="36"/>
  <c r="G190" i="36"/>
  <c r="G193" i="36" s="1"/>
  <c r="G221" i="36" s="1"/>
  <c r="G223" i="36" s="1"/>
  <c r="C184" i="36"/>
  <c r="C183" i="36"/>
  <c r="G161" i="36"/>
  <c r="G159" i="36"/>
  <c r="G152" i="36"/>
  <c r="G151" i="36"/>
  <c r="G150" i="36"/>
  <c r="G144" i="36"/>
  <c r="G130" i="36"/>
  <c r="G133" i="36" s="1"/>
  <c r="C124" i="36"/>
  <c r="C123" i="36"/>
  <c r="G103" i="36"/>
  <c r="G105" i="36" s="1"/>
  <c r="G97" i="36"/>
  <c r="G89" i="36"/>
  <c r="G72" i="36"/>
  <c r="G71" i="36"/>
  <c r="G77" i="36" s="1"/>
  <c r="G107" i="36" s="1"/>
  <c r="G109" i="36" s="1"/>
  <c r="C65" i="36"/>
  <c r="G47" i="36"/>
  <c r="G49" i="36" s="1"/>
  <c r="G39" i="36"/>
  <c r="G38" i="36"/>
  <c r="G32" i="36"/>
  <c r="G15" i="36"/>
  <c r="G14" i="36"/>
  <c r="G20" i="36" s="1"/>
  <c r="J11" i="36"/>
  <c r="C8" i="36"/>
  <c r="C7" i="36"/>
  <c r="C64" i="36" s="1"/>
  <c r="O22" i="35"/>
  <c r="P22" i="35" s="1"/>
  <c r="N22" i="35"/>
  <c r="K22" i="35"/>
  <c r="H22" i="35"/>
  <c r="O21" i="35"/>
  <c r="P21" i="35" s="1"/>
  <c r="N21" i="35"/>
  <c r="K21" i="35"/>
  <c r="H21" i="35"/>
  <c r="O20" i="35"/>
  <c r="P20" i="35" s="1"/>
  <c r="N20" i="35"/>
  <c r="K20" i="35"/>
  <c r="H20" i="35"/>
  <c r="O19" i="35"/>
  <c r="P19" i="35" s="1"/>
  <c r="N19" i="35"/>
  <c r="K19" i="35"/>
  <c r="H19" i="35"/>
  <c r="O18" i="35"/>
  <c r="P18" i="35" s="1"/>
  <c r="N18" i="35"/>
  <c r="K18" i="35"/>
  <c r="H18" i="35"/>
  <c r="O17" i="35"/>
  <c r="P17" i="35" s="1"/>
  <c r="N17" i="35"/>
  <c r="K17" i="35"/>
  <c r="H17" i="35"/>
  <c r="O16" i="35"/>
  <c r="P16" i="35" s="1"/>
  <c r="N16" i="35"/>
  <c r="K16" i="35"/>
  <c r="H16" i="35"/>
  <c r="O15" i="35"/>
  <c r="P15" i="35" s="1"/>
  <c r="N15" i="35"/>
  <c r="K15" i="35"/>
  <c r="H15" i="35"/>
  <c r="O14" i="35"/>
  <c r="P14" i="35" s="1"/>
  <c r="N14" i="35"/>
  <c r="K14" i="35"/>
  <c r="H14" i="35"/>
  <c r="O13" i="35"/>
  <c r="P13" i="35" s="1"/>
  <c r="N13" i="35"/>
  <c r="K13" i="35"/>
  <c r="H13" i="35"/>
  <c r="O12" i="35"/>
  <c r="P12" i="35" s="1"/>
  <c r="N12" i="35"/>
  <c r="K12" i="35"/>
  <c r="H12" i="35"/>
  <c r="P11" i="35"/>
  <c r="O11" i="35"/>
  <c r="N11" i="35"/>
  <c r="K11" i="35"/>
  <c r="H11" i="35"/>
  <c r="O10" i="35"/>
  <c r="P10" i="35" s="1"/>
  <c r="N10" i="35"/>
  <c r="K10" i="35"/>
  <c r="H10" i="35"/>
  <c r="O9" i="35"/>
  <c r="P9" i="35" s="1"/>
  <c r="N9" i="35"/>
  <c r="K9" i="35"/>
  <c r="H9" i="35"/>
  <c r="O8" i="35"/>
  <c r="P8" i="35" s="1"/>
  <c r="N8" i="35"/>
  <c r="K8" i="35"/>
  <c r="H8" i="35"/>
  <c r="O7" i="35"/>
  <c r="P7" i="35" s="1"/>
  <c r="N7" i="35"/>
  <c r="K7" i="35"/>
  <c r="H7" i="35"/>
  <c r="O6" i="35"/>
  <c r="P6" i="35" s="1"/>
  <c r="N6" i="35"/>
  <c r="K6" i="35"/>
  <c r="H6" i="35"/>
  <c r="F37" i="34"/>
  <c r="F36" i="34"/>
  <c r="F35" i="34"/>
  <c r="E33" i="34"/>
  <c r="F33" i="34" s="1"/>
  <c r="E32" i="34"/>
  <c r="F32" i="34" s="1"/>
  <c r="E31" i="34"/>
  <c r="F31" i="34" s="1"/>
  <c r="E30" i="34"/>
  <c r="F30" i="34" s="1"/>
  <c r="E29" i="34"/>
  <c r="F29" i="34" s="1"/>
  <c r="E28" i="34"/>
  <c r="F28" i="34" s="1"/>
  <c r="E27" i="34"/>
  <c r="F27" i="34" s="1"/>
  <c r="E26" i="34"/>
  <c r="F26" i="34" s="1"/>
  <c r="E24" i="34"/>
  <c r="F24" i="34" s="1"/>
  <c r="E23" i="34"/>
  <c r="F23" i="34" s="1"/>
  <c r="E22" i="34"/>
  <c r="F22" i="34" s="1"/>
  <c r="E21" i="34"/>
  <c r="F21" i="34" s="1"/>
  <c r="E20" i="34"/>
  <c r="F20" i="34" s="1"/>
  <c r="E19" i="34"/>
  <c r="F19" i="34" s="1"/>
  <c r="E18" i="34"/>
  <c r="F18" i="34" s="1"/>
  <c r="E16" i="34"/>
  <c r="F16" i="34" s="1"/>
  <c r="E15" i="34"/>
  <c r="F15" i="34" s="1"/>
  <c r="E14" i="34"/>
  <c r="F14" i="34" s="1"/>
  <c r="E12" i="34"/>
  <c r="F12" i="34" s="1"/>
  <c r="E11" i="34"/>
  <c r="F11" i="34" s="1"/>
  <c r="E10" i="34"/>
  <c r="F10" i="34" s="1"/>
  <c r="E8" i="34"/>
  <c r="F8" i="34" s="1"/>
  <c r="E7" i="34"/>
  <c r="F7" i="34" s="1"/>
  <c r="E6" i="34"/>
  <c r="F6" i="34" s="1"/>
  <c r="E5" i="34"/>
  <c r="F5" i="34" s="1"/>
  <c r="E4" i="34"/>
  <c r="F4" i="34" s="1"/>
  <c r="N39" i="33"/>
  <c r="O39" i="33" s="1"/>
  <c r="L39" i="33"/>
  <c r="K39" i="33"/>
  <c r="I39" i="33"/>
  <c r="G39" i="33"/>
  <c r="N38" i="33"/>
  <c r="O38" i="33" s="1"/>
  <c r="L38" i="33"/>
  <c r="M38" i="33" s="1"/>
  <c r="K38" i="33"/>
  <c r="I38" i="33"/>
  <c r="G38" i="33"/>
  <c r="N37" i="33"/>
  <c r="O37" i="33" s="1"/>
  <c r="M37" i="33"/>
  <c r="L37" i="33"/>
  <c r="K37" i="33"/>
  <c r="I37" i="33"/>
  <c r="G37" i="33"/>
  <c r="N35" i="33"/>
  <c r="O35" i="33" s="1"/>
  <c r="M35" i="33"/>
  <c r="L35" i="33"/>
  <c r="K35" i="33"/>
  <c r="I35" i="33"/>
  <c r="G35" i="33"/>
  <c r="N34" i="33"/>
  <c r="O34" i="33" s="1"/>
  <c r="L34" i="33"/>
  <c r="M34" i="33" s="1"/>
  <c r="K34" i="33"/>
  <c r="I34" i="33"/>
  <c r="G34" i="33"/>
  <c r="N33" i="33"/>
  <c r="O33" i="33" s="1"/>
  <c r="M33" i="33"/>
  <c r="L33" i="33"/>
  <c r="K33" i="33"/>
  <c r="I33" i="33"/>
  <c r="G33" i="33"/>
  <c r="N32" i="33"/>
  <c r="O32" i="33" s="1"/>
  <c r="L32" i="33"/>
  <c r="M32" i="33" s="1"/>
  <c r="K32" i="33"/>
  <c r="I32" i="33"/>
  <c r="G32" i="33"/>
  <c r="N31" i="33"/>
  <c r="O31" i="33" s="1"/>
  <c r="M31" i="33"/>
  <c r="L31" i="33"/>
  <c r="K31" i="33"/>
  <c r="I31" i="33"/>
  <c r="G31" i="33"/>
  <c r="N30" i="33"/>
  <c r="O30" i="33" s="1"/>
  <c r="L30" i="33"/>
  <c r="M30" i="33" s="1"/>
  <c r="K30" i="33"/>
  <c r="I30" i="33"/>
  <c r="G30" i="33"/>
  <c r="N29" i="33"/>
  <c r="O29" i="33" s="1"/>
  <c r="M29" i="33"/>
  <c r="L29" i="33"/>
  <c r="K29" i="33"/>
  <c r="I29" i="33"/>
  <c r="G29" i="33"/>
  <c r="N28" i="33"/>
  <c r="O28" i="33" s="1"/>
  <c r="L28" i="33"/>
  <c r="M28" i="33" s="1"/>
  <c r="K28" i="33"/>
  <c r="K36" i="33" s="1"/>
  <c r="I28" i="33"/>
  <c r="G28" i="33"/>
  <c r="G36" i="33" s="1"/>
  <c r="N26" i="33"/>
  <c r="O26" i="33" s="1"/>
  <c r="L26" i="33"/>
  <c r="M26" i="33" s="1"/>
  <c r="K26" i="33"/>
  <c r="I26" i="33"/>
  <c r="G26" i="33"/>
  <c r="N25" i="33"/>
  <c r="O25" i="33" s="1"/>
  <c r="M25" i="33"/>
  <c r="L25" i="33"/>
  <c r="K25" i="33"/>
  <c r="I25" i="33"/>
  <c r="G25" i="33"/>
  <c r="N24" i="33"/>
  <c r="O24" i="33" s="1"/>
  <c r="L24" i="33"/>
  <c r="M24" i="33" s="1"/>
  <c r="K24" i="33"/>
  <c r="I24" i="33"/>
  <c r="G24" i="33"/>
  <c r="N23" i="33"/>
  <c r="O23" i="33" s="1"/>
  <c r="M23" i="33"/>
  <c r="L23" i="33"/>
  <c r="K23" i="33"/>
  <c r="I23" i="33"/>
  <c r="G23" i="33"/>
  <c r="N22" i="33"/>
  <c r="O22" i="33" s="1"/>
  <c r="L22" i="33"/>
  <c r="M22" i="33" s="1"/>
  <c r="K22" i="33"/>
  <c r="I22" i="33"/>
  <c r="G22" i="33"/>
  <c r="N21" i="33"/>
  <c r="O21" i="33" s="1"/>
  <c r="M21" i="33"/>
  <c r="L21" i="33"/>
  <c r="K21" i="33"/>
  <c r="I21" i="33"/>
  <c r="G21" i="33"/>
  <c r="N20" i="33"/>
  <c r="O20" i="33" s="1"/>
  <c r="L20" i="33"/>
  <c r="M20" i="33" s="1"/>
  <c r="K20" i="33"/>
  <c r="I20" i="33"/>
  <c r="G20" i="33"/>
  <c r="N18" i="33"/>
  <c r="O18" i="33" s="1"/>
  <c r="L18" i="33"/>
  <c r="M18" i="33" s="1"/>
  <c r="K18" i="33"/>
  <c r="I18" i="33"/>
  <c r="G18" i="33"/>
  <c r="N17" i="33"/>
  <c r="O17" i="33" s="1"/>
  <c r="M17" i="33"/>
  <c r="L17" i="33"/>
  <c r="K17" i="33"/>
  <c r="I17" i="33"/>
  <c r="G17" i="33"/>
  <c r="N16" i="33"/>
  <c r="O16" i="33" s="1"/>
  <c r="L16" i="33"/>
  <c r="M16" i="33" s="1"/>
  <c r="K16" i="33"/>
  <c r="I16" i="33"/>
  <c r="G16" i="33"/>
  <c r="N14" i="33"/>
  <c r="O14" i="33" s="1"/>
  <c r="L14" i="33"/>
  <c r="M14" i="33" s="1"/>
  <c r="K14" i="33"/>
  <c r="I14" i="33"/>
  <c r="G14" i="33"/>
  <c r="N13" i="33"/>
  <c r="O13" i="33" s="1"/>
  <c r="M13" i="33"/>
  <c r="L13" i="33"/>
  <c r="K13" i="33"/>
  <c r="I13" i="33"/>
  <c r="G13" i="33"/>
  <c r="N12" i="33"/>
  <c r="O12" i="33" s="1"/>
  <c r="L12" i="33"/>
  <c r="M12" i="33" s="1"/>
  <c r="K12" i="33"/>
  <c r="I12" i="33"/>
  <c r="G12" i="33"/>
  <c r="N10" i="33"/>
  <c r="O10" i="33" s="1"/>
  <c r="L10" i="33"/>
  <c r="M10" i="33" s="1"/>
  <c r="K10" i="33"/>
  <c r="I10" i="33"/>
  <c r="G10" i="33"/>
  <c r="N9" i="33"/>
  <c r="O9" i="33" s="1"/>
  <c r="M9" i="33"/>
  <c r="L9" i="33"/>
  <c r="K9" i="33"/>
  <c r="I9" i="33"/>
  <c r="G9" i="33"/>
  <c r="N8" i="33"/>
  <c r="O8" i="33" s="1"/>
  <c r="L8" i="33"/>
  <c r="M8" i="33" s="1"/>
  <c r="K8" i="33"/>
  <c r="I8" i="33"/>
  <c r="G8" i="33"/>
  <c r="N7" i="33"/>
  <c r="O7" i="33" s="1"/>
  <c r="M7" i="33"/>
  <c r="L7" i="33"/>
  <c r="K7" i="33"/>
  <c r="I7" i="33"/>
  <c r="G7" i="33"/>
  <c r="N6" i="33"/>
  <c r="O6" i="33" s="1"/>
  <c r="L6" i="33"/>
  <c r="M6" i="33" s="1"/>
  <c r="K6" i="33"/>
  <c r="I6" i="33"/>
  <c r="G6" i="33"/>
  <c r="I22" i="43" l="1"/>
  <c r="I23" i="43" s="1"/>
  <c r="G40" i="33"/>
  <c r="K40" i="33"/>
  <c r="M40" i="33"/>
  <c r="G27" i="33"/>
  <c r="K27" i="33"/>
  <c r="G19" i="33"/>
  <c r="K19" i="33"/>
  <c r="M11" i="33"/>
  <c r="G11" i="33"/>
  <c r="K11" i="33"/>
  <c r="I11" i="33"/>
  <c r="H23" i="35"/>
  <c r="K23" i="35"/>
  <c r="N23" i="35"/>
  <c r="G41" i="36"/>
  <c r="G51" i="36" s="1"/>
  <c r="G53" i="36" s="1"/>
  <c r="G364" i="39"/>
  <c r="G35" i="38"/>
  <c r="G76" i="38"/>
  <c r="G84" i="38"/>
  <c r="G124" i="38"/>
  <c r="G141" i="38" s="1"/>
  <c r="G143" i="38" s="1"/>
  <c r="G132" i="38"/>
  <c r="G153" i="36"/>
  <c r="G251" i="36"/>
  <c r="G279" i="36" s="1"/>
  <c r="G281" i="36" s="1"/>
  <c r="G269" i="36"/>
  <c r="G163" i="36"/>
  <c r="G165" i="36" s="1"/>
  <c r="G17" i="41"/>
  <c r="G40" i="41"/>
  <c r="G70" i="41"/>
  <c r="G100" i="41"/>
  <c r="G132" i="41"/>
  <c r="G150" i="41" s="1"/>
  <c r="G152" i="41" s="1"/>
  <c r="G29" i="41"/>
  <c r="G88" i="41"/>
  <c r="G36" i="40"/>
  <c r="G404" i="40"/>
  <c r="G86" i="40"/>
  <c r="G94" i="40"/>
  <c r="G251" i="40"/>
  <c r="G314" i="40"/>
  <c r="G46" i="40"/>
  <c r="G48" i="40" s="1"/>
  <c r="G433" i="40"/>
  <c r="G435" i="40" s="1"/>
  <c r="G74" i="40"/>
  <c r="B117" i="40"/>
  <c r="G130" i="40"/>
  <c r="G142" i="40"/>
  <c r="G150" i="40"/>
  <c r="G196" i="40"/>
  <c r="G204" i="40"/>
  <c r="G259" i="40"/>
  <c r="G292" i="40"/>
  <c r="G306" i="40"/>
  <c r="G379" i="40"/>
  <c r="G381" i="40" s="1"/>
  <c r="G16" i="39"/>
  <c r="G296" i="39"/>
  <c r="G313" i="39" s="1"/>
  <c r="G315" i="39" s="1"/>
  <c r="I315" i="39" s="1"/>
  <c r="G304" i="39"/>
  <c r="G203" i="39"/>
  <c r="G205" i="39" s="1"/>
  <c r="I203" i="39" s="1"/>
  <c r="G28" i="39"/>
  <c r="G36" i="39"/>
  <c r="G67" i="39"/>
  <c r="G79" i="39"/>
  <c r="G87" i="39"/>
  <c r="G255" i="39"/>
  <c r="G257" i="39" s="1"/>
  <c r="I254" i="39" s="1"/>
  <c r="G348" i="39"/>
  <c r="G356" i="39"/>
  <c r="G94" i="38"/>
  <c r="G96" i="38" s="1"/>
  <c r="G17" i="38"/>
  <c r="G43" i="38" s="1"/>
  <c r="G45" i="38" s="1"/>
  <c r="I40" i="33"/>
  <c r="M36" i="33"/>
  <c r="I36" i="33"/>
  <c r="M27" i="33"/>
  <c r="I27" i="33"/>
  <c r="M19" i="33"/>
  <c r="I19" i="33"/>
  <c r="G15" i="33"/>
  <c r="K15" i="33"/>
  <c r="M15" i="33"/>
  <c r="I15" i="33"/>
  <c r="O40" i="33"/>
  <c r="E21" i="44"/>
  <c r="O11" i="33"/>
  <c r="O19" i="33"/>
  <c r="O36" i="33"/>
  <c r="O15" i="33"/>
  <c r="O27" i="33"/>
  <c r="E30" i="44"/>
  <c r="E34" i="44" s="1"/>
  <c r="C7" i="43" s="1"/>
  <c r="D27" i="42"/>
  <c r="D29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P83" i="42"/>
  <c r="Q83" i="42" s="1"/>
  <c r="P75" i="42"/>
  <c r="P74" i="42"/>
  <c r="T83" i="42"/>
  <c r="T75" i="42"/>
  <c r="T74" i="42"/>
  <c r="X83" i="42"/>
  <c r="Y83" i="42" s="1"/>
  <c r="X75" i="42"/>
  <c r="X74" i="42"/>
  <c r="AB83" i="42"/>
  <c r="AB75" i="42"/>
  <c r="AB74" i="42"/>
  <c r="AF83" i="42"/>
  <c r="AG83" i="42" s="1"/>
  <c r="AF75" i="42"/>
  <c r="AF74" i="42"/>
  <c r="AN83" i="42"/>
  <c r="AN75" i="42"/>
  <c r="AN74" i="42"/>
  <c r="AR83" i="42"/>
  <c r="AS83" i="42" s="1"/>
  <c r="AR75" i="42"/>
  <c r="AR74" i="42"/>
  <c r="N97" i="42"/>
  <c r="O97" i="42" s="1"/>
  <c r="N96" i="42"/>
  <c r="O96" i="42" s="1"/>
  <c r="O78" i="42"/>
  <c r="V97" i="42"/>
  <c r="W97" i="42" s="1"/>
  <c r="V96" i="42"/>
  <c r="W96" i="42" s="1"/>
  <c r="V93" i="42"/>
  <c r="W93" i="42" s="1"/>
  <c r="W78" i="42"/>
  <c r="AD97" i="42"/>
  <c r="AE97" i="42" s="1"/>
  <c r="AD96" i="42"/>
  <c r="AE96" i="42" s="1"/>
  <c r="AD93" i="42"/>
  <c r="AE93" i="42" s="1"/>
  <c r="AE78" i="42"/>
  <c r="AL97" i="42"/>
  <c r="AM97" i="42" s="1"/>
  <c r="AL96" i="42"/>
  <c r="AM96" i="42" s="1"/>
  <c r="AL93" i="42"/>
  <c r="AM93" i="42" s="1"/>
  <c r="AM86" i="42"/>
  <c r="AM79" i="42"/>
  <c r="AM78" i="42"/>
  <c r="N76" i="42"/>
  <c r="V76" i="42"/>
  <c r="AD76" i="42"/>
  <c r="AL76" i="42"/>
  <c r="V78" i="42"/>
  <c r="AD78" i="42"/>
  <c r="AL78" i="42"/>
  <c r="N79" i="42"/>
  <c r="O79" i="42" s="1"/>
  <c r="R79" i="42"/>
  <c r="S79" i="42" s="1"/>
  <c r="V79" i="42"/>
  <c r="W79" i="42" s="1"/>
  <c r="Z79" i="42"/>
  <c r="AA79" i="42" s="1"/>
  <c r="AD79" i="42"/>
  <c r="AE79" i="42" s="1"/>
  <c r="N82" i="42"/>
  <c r="O82" i="42" s="1"/>
  <c r="V82" i="42"/>
  <c r="W82" i="42" s="1"/>
  <c r="AD82" i="42"/>
  <c r="AE82" i="42" s="1"/>
  <c r="AL82" i="42"/>
  <c r="AM82" i="42" s="1"/>
  <c r="O83" i="42"/>
  <c r="W83" i="42"/>
  <c r="AE83" i="42"/>
  <c r="AM83" i="42"/>
  <c r="N84" i="42"/>
  <c r="O84" i="42" s="1"/>
  <c r="V84" i="42"/>
  <c r="W84" i="42" s="1"/>
  <c r="AD84" i="42"/>
  <c r="AE84" i="42" s="1"/>
  <c r="AL84" i="42"/>
  <c r="AM84" i="42" s="1"/>
  <c r="O86" i="42"/>
  <c r="W86" i="42"/>
  <c r="AE86" i="42"/>
  <c r="O87" i="42"/>
  <c r="W87" i="42"/>
  <c r="AE87" i="42"/>
  <c r="AI87" i="42"/>
  <c r="AM87" i="42"/>
  <c r="N89" i="42"/>
  <c r="O89" i="42" s="1"/>
  <c r="V89" i="42"/>
  <c r="W89" i="42" s="1"/>
  <c r="AD89" i="42"/>
  <c r="AE89" i="42" s="1"/>
  <c r="AL89" i="42"/>
  <c r="AM89" i="42" s="1"/>
  <c r="N90" i="42"/>
  <c r="O90" i="42" s="1"/>
  <c r="V90" i="42"/>
  <c r="W90" i="42" s="1"/>
  <c r="AD90" i="42"/>
  <c r="AE90" i="42" s="1"/>
  <c r="AL90" i="42"/>
  <c r="AM90" i="42" s="1"/>
  <c r="N91" i="42"/>
  <c r="O91" i="42" s="1"/>
  <c r="V91" i="42"/>
  <c r="W91" i="42" s="1"/>
  <c r="AD91" i="42"/>
  <c r="AE91" i="42" s="1"/>
  <c r="AL91" i="42"/>
  <c r="AM91" i="42" s="1"/>
  <c r="N93" i="42"/>
  <c r="O93" i="42" s="1"/>
  <c r="Y94" i="42"/>
  <c r="AO94" i="42"/>
  <c r="N33" i="42"/>
  <c r="N31" i="42"/>
  <c r="N29" i="42"/>
  <c r="N28" i="42"/>
  <c r="D30" i="42"/>
  <c r="N30" i="42"/>
  <c r="AJ83" i="42"/>
  <c r="AK83" i="42" s="1"/>
  <c r="AJ75" i="42"/>
  <c r="AJ74" i="42"/>
  <c r="AH74" i="42"/>
  <c r="R97" i="42"/>
  <c r="S97" i="42" s="1"/>
  <c r="R96" i="42"/>
  <c r="S96" i="42" s="1"/>
  <c r="S78" i="42"/>
  <c r="Z97" i="42"/>
  <c r="AA97" i="42" s="1"/>
  <c r="Z96" i="42"/>
  <c r="AA96" i="42" s="1"/>
  <c r="Z93" i="42"/>
  <c r="AA93" i="42" s="1"/>
  <c r="AA78" i="42"/>
  <c r="AH75" i="42"/>
  <c r="AP97" i="42"/>
  <c r="AQ97" i="42" s="1"/>
  <c r="AP96" i="42"/>
  <c r="AQ96" i="42" s="1"/>
  <c r="AP93" i="42"/>
  <c r="AQ93" i="42" s="1"/>
  <c r="AQ86" i="42"/>
  <c r="AQ79" i="42"/>
  <c r="AQ78" i="42"/>
  <c r="R76" i="42"/>
  <c r="Z76" i="42"/>
  <c r="AP76" i="42"/>
  <c r="P79" i="42"/>
  <c r="Q79" i="42" s="1"/>
  <c r="T79" i="42"/>
  <c r="U79" i="42" s="1"/>
  <c r="X79" i="42"/>
  <c r="Y79" i="42" s="1"/>
  <c r="S81" i="42"/>
  <c r="AA81" i="42"/>
  <c r="AQ81" i="42"/>
  <c r="S83" i="42"/>
  <c r="AA83" i="42"/>
  <c r="AQ83" i="42"/>
  <c r="R84" i="42"/>
  <c r="S84" i="42" s="1"/>
  <c r="Z84" i="42"/>
  <c r="AA84" i="42" s="1"/>
  <c r="AP84" i="42"/>
  <c r="AQ84" i="42" s="1"/>
  <c r="R89" i="42"/>
  <c r="S89" i="42" s="1"/>
  <c r="Z89" i="42"/>
  <c r="AA89" i="42" s="1"/>
  <c r="AP89" i="42"/>
  <c r="AQ89" i="42" s="1"/>
  <c r="R90" i="42"/>
  <c r="S90" i="42" s="1"/>
  <c r="Z90" i="42"/>
  <c r="AA90" i="42" s="1"/>
  <c r="AP90" i="42"/>
  <c r="AQ90" i="42" s="1"/>
  <c r="R91" i="42"/>
  <c r="S91" i="42" s="1"/>
  <c r="Z91" i="42"/>
  <c r="AA91" i="42" s="1"/>
  <c r="AP91" i="42"/>
  <c r="AQ91" i="42" s="1"/>
  <c r="R93" i="42"/>
  <c r="S93" i="42" s="1"/>
  <c r="Q94" i="42"/>
  <c r="AG94" i="42"/>
  <c r="G67" i="42"/>
  <c r="G69" i="42"/>
  <c r="AP94" i="42"/>
  <c r="AQ94" i="42" s="1"/>
  <c r="AL94" i="42"/>
  <c r="AM94" i="42" s="1"/>
  <c r="AH94" i="42"/>
  <c r="AI94" i="42" s="1"/>
  <c r="AD94" i="42"/>
  <c r="AE94" i="42" s="1"/>
  <c r="Z94" i="42"/>
  <c r="AA94" i="42" s="1"/>
  <c r="V94" i="42"/>
  <c r="W94" i="42" s="1"/>
  <c r="R94" i="42"/>
  <c r="S94" i="42" s="1"/>
  <c r="N94" i="42"/>
  <c r="O94" i="42" s="1"/>
  <c r="Q86" i="42"/>
  <c r="U86" i="42"/>
  <c r="Y86" i="42"/>
  <c r="AC86" i="42"/>
  <c r="Q87" i="42"/>
  <c r="U87" i="42"/>
  <c r="Y87" i="42"/>
  <c r="AC87" i="42"/>
  <c r="AG87" i="42"/>
  <c r="AK87" i="42"/>
  <c r="AS87" i="42"/>
  <c r="T94" i="42"/>
  <c r="AB94" i="42"/>
  <c r="AC94" i="42" s="1"/>
  <c r="AJ94" i="42"/>
  <c r="AK94" i="42" s="1"/>
  <c r="AR94" i="42"/>
  <c r="AS94" i="42" s="1"/>
  <c r="G153" i="39"/>
  <c r="G155" i="39" s="1"/>
  <c r="I154" i="39" s="1"/>
  <c r="G45" i="37"/>
  <c r="G47" i="37" s="1"/>
  <c r="G153" i="37"/>
  <c r="G155" i="37" s="1"/>
  <c r="H24" i="35"/>
  <c r="H25" i="35" s="1"/>
  <c r="N24" i="35"/>
  <c r="N25" i="35" s="1"/>
  <c r="K24" i="35"/>
  <c r="P23" i="35"/>
  <c r="E38" i="34"/>
  <c r="E39" i="34" s="1"/>
  <c r="F41" i="33" l="1"/>
  <c r="J41" i="33"/>
  <c r="F43" i="33"/>
  <c r="L41" i="33"/>
  <c r="H41" i="33"/>
  <c r="K25" i="35"/>
  <c r="G46" i="39"/>
  <c r="G48" i="39" s="1"/>
  <c r="I46" i="39" s="1"/>
  <c r="I44" i="39" s="1"/>
  <c r="G101" i="41"/>
  <c r="G103" i="41" s="1"/>
  <c r="G43" i="41"/>
  <c r="G45" i="41" s="1"/>
  <c r="G104" i="40"/>
  <c r="G106" i="40" s="1"/>
  <c r="G269" i="40"/>
  <c r="G271" i="40" s="1"/>
  <c r="G214" i="40"/>
  <c r="G216" i="40" s="1"/>
  <c r="G160" i="40"/>
  <c r="G162" i="40" s="1"/>
  <c r="G324" i="40"/>
  <c r="G326" i="40" s="1"/>
  <c r="G366" i="39"/>
  <c r="G368" i="39" s="1"/>
  <c r="I368" i="39" s="1"/>
  <c r="M153" i="39"/>
  <c r="G97" i="39"/>
  <c r="J43" i="33"/>
  <c r="H13" i="43"/>
  <c r="I13" i="43" s="1"/>
  <c r="H12" i="43"/>
  <c r="I12" i="43" s="1"/>
  <c r="H11" i="43"/>
  <c r="I11" i="43" s="1"/>
  <c r="N41" i="33"/>
  <c r="N42" i="33" s="1"/>
  <c r="AA98" i="42"/>
  <c r="S98" i="42"/>
  <c r="AJ84" i="42"/>
  <c r="AK84" i="42" s="1"/>
  <c r="AJ81" i="42"/>
  <c r="AP98" i="42"/>
  <c r="AP100" i="42" s="1"/>
  <c r="AD98" i="42"/>
  <c r="AD100" i="42" s="1"/>
  <c r="V98" i="42"/>
  <c r="V100" i="42" s="1"/>
  <c r="N98" i="42"/>
  <c r="N100" i="42" s="1"/>
  <c r="AR84" i="42"/>
  <c r="AS84" i="42" s="1"/>
  <c r="AR81" i="42"/>
  <c r="AN91" i="42"/>
  <c r="AO91" i="42" s="1"/>
  <c r="AN90" i="42"/>
  <c r="AO90" i="42" s="1"/>
  <c r="AN89" i="42"/>
  <c r="AO89" i="42" s="1"/>
  <c r="AO86" i="42"/>
  <c r="AO78" i="42"/>
  <c r="AN76" i="42"/>
  <c r="AO79" i="42"/>
  <c r="AN78" i="42"/>
  <c r="AN97" i="42"/>
  <c r="AO97" i="42" s="1"/>
  <c r="AN96" i="42"/>
  <c r="AO96" i="42" s="1"/>
  <c r="AN93" i="42"/>
  <c r="AO93" i="42" s="1"/>
  <c r="AF84" i="42"/>
  <c r="AG84" i="42" s="1"/>
  <c r="AF81" i="42"/>
  <c r="AB97" i="42"/>
  <c r="AC97" i="42" s="1"/>
  <c r="AB96" i="42"/>
  <c r="AC96" i="42" s="1"/>
  <c r="AB93" i="42"/>
  <c r="AC93" i="42" s="1"/>
  <c r="AB91" i="42"/>
  <c r="AC91" i="42" s="1"/>
  <c r="AB90" i="42"/>
  <c r="AC90" i="42" s="1"/>
  <c r="AB89" i="42"/>
  <c r="AC89" i="42" s="1"/>
  <c r="AC78" i="42"/>
  <c r="AB76" i="42"/>
  <c r="AB78" i="42"/>
  <c r="X84" i="42"/>
  <c r="Y84" i="42" s="1"/>
  <c r="X81" i="42"/>
  <c r="T97" i="42"/>
  <c r="U97" i="42" s="1"/>
  <c r="T96" i="42"/>
  <c r="U96" i="42" s="1"/>
  <c r="T93" i="42"/>
  <c r="U93" i="42" s="1"/>
  <c r="T91" i="42"/>
  <c r="U91" i="42" s="1"/>
  <c r="T90" i="42"/>
  <c r="U90" i="42" s="1"/>
  <c r="T89" i="42"/>
  <c r="U89" i="42" s="1"/>
  <c r="U78" i="42"/>
  <c r="T76" i="42"/>
  <c r="T78" i="42"/>
  <c r="P84" i="42"/>
  <c r="Q84" i="42" s="1"/>
  <c r="P81" i="42"/>
  <c r="AC79" i="42"/>
  <c r="U94" i="42"/>
  <c r="AO87" i="42"/>
  <c r="AQ98" i="42"/>
  <c r="AH97" i="42"/>
  <c r="AI97" i="42" s="1"/>
  <c r="AH96" i="42"/>
  <c r="AI96" i="42" s="1"/>
  <c r="AH93" i="42"/>
  <c r="AI93" i="42" s="1"/>
  <c r="AI86" i="42"/>
  <c r="AI79" i="42"/>
  <c r="AI78" i="42"/>
  <c r="AH91" i="42"/>
  <c r="AI91" i="42" s="1"/>
  <c r="AH90" i="42"/>
  <c r="AI90" i="42" s="1"/>
  <c r="AH89" i="42"/>
  <c r="AI89" i="42" s="1"/>
  <c r="AH76" i="42"/>
  <c r="AH78" i="42"/>
  <c r="AH81" i="42"/>
  <c r="AH84" i="42"/>
  <c r="AI84" i="42" s="1"/>
  <c r="AJ97" i="42"/>
  <c r="AK97" i="42" s="1"/>
  <c r="AJ96" i="42"/>
  <c r="AK96" i="42" s="1"/>
  <c r="AJ93" i="42"/>
  <c r="AK93" i="42" s="1"/>
  <c r="AJ91" i="42"/>
  <c r="AK91" i="42" s="1"/>
  <c r="AJ90" i="42"/>
  <c r="AK90" i="42" s="1"/>
  <c r="AJ89" i="42"/>
  <c r="AK89" i="42" s="1"/>
  <c r="AK78" i="42"/>
  <c r="AJ76" i="42"/>
  <c r="AK86" i="42"/>
  <c r="AJ78" i="42"/>
  <c r="AK79" i="42"/>
  <c r="D26" i="42"/>
  <c r="AL98" i="42"/>
  <c r="AL100" i="42" s="1"/>
  <c r="Z98" i="42"/>
  <c r="Z100" i="42" s="1"/>
  <c r="R98" i="42"/>
  <c r="R100" i="42" s="1"/>
  <c r="AM98" i="42"/>
  <c r="AE98" i="42"/>
  <c r="W98" i="42"/>
  <c r="O98" i="42"/>
  <c r="AR97" i="42"/>
  <c r="AS97" i="42" s="1"/>
  <c r="AR96" i="42"/>
  <c r="AS96" i="42" s="1"/>
  <c r="AR93" i="42"/>
  <c r="AS93" i="42" s="1"/>
  <c r="AR91" i="42"/>
  <c r="AS91" i="42" s="1"/>
  <c r="AR90" i="42"/>
  <c r="AS90" i="42" s="1"/>
  <c r="AR89" i="42"/>
  <c r="AS89" i="42" s="1"/>
  <c r="AS78" i="42"/>
  <c r="AR76" i="42"/>
  <c r="AR78" i="42"/>
  <c r="AS86" i="42"/>
  <c r="AS79" i="42"/>
  <c r="AN84" i="42"/>
  <c r="AO84" i="42" s="1"/>
  <c r="AN81" i="42"/>
  <c r="AO83" i="42"/>
  <c r="AF91" i="42"/>
  <c r="AG91" i="42" s="1"/>
  <c r="AF90" i="42"/>
  <c r="AG90" i="42" s="1"/>
  <c r="AF89" i="42"/>
  <c r="AG89" i="42" s="1"/>
  <c r="AG86" i="42"/>
  <c r="AG78" i="42"/>
  <c r="AF76" i="42"/>
  <c r="AF97" i="42"/>
  <c r="AG97" i="42" s="1"/>
  <c r="AF96" i="42"/>
  <c r="AG96" i="42" s="1"/>
  <c r="AF93" i="42"/>
  <c r="AG93" i="42" s="1"/>
  <c r="AG79" i="42"/>
  <c r="AF78" i="42"/>
  <c r="AB84" i="42"/>
  <c r="AC84" i="42" s="1"/>
  <c r="AB81" i="42"/>
  <c r="AC83" i="42"/>
  <c r="X91" i="42"/>
  <c r="Y91" i="42" s="1"/>
  <c r="X90" i="42"/>
  <c r="Y90" i="42" s="1"/>
  <c r="X89" i="42"/>
  <c r="Y89" i="42" s="1"/>
  <c r="Y78" i="42"/>
  <c r="X76" i="42"/>
  <c r="X78" i="42"/>
  <c r="X97" i="42"/>
  <c r="Y97" i="42" s="1"/>
  <c r="X96" i="42"/>
  <c r="Y96" i="42" s="1"/>
  <c r="X93" i="42"/>
  <c r="Y93" i="42" s="1"/>
  <c r="T84" i="42"/>
  <c r="U84" i="42" s="1"/>
  <c r="T81" i="42"/>
  <c r="U83" i="42"/>
  <c r="P93" i="42"/>
  <c r="Q93" i="42" s="1"/>
  <c r="P91" i="42"/>
  <c r="Q91" i="42" s="1"/>
  <c r="P90" i="42"/>
  <c r="Q90" i="42" s="1"/>
  <c r="P89" i="42"/>
  <c r="Q89" i="42" s="1"/>
  <c r="Q78" i="42"/>
  <c r="P76" i="42"/>
  <c r="P97" i="42"/>
  <c r="Q97" i="42" s="1"/>
  <c r="P96" i="42"/>
  <c r="Q96" i="42" s="1"/>
  <c r="P78" i="42"/>
  <c r="D32" i="42"/>
  <c r="D31" i="42"/>
  <c r="AI83" i="42"/>
  <c r="D28" i="42"/>
  <c r="P24" i="35"/>
  <c r="P25" i="35" s="1"/>
  <c r="E40" i="34"/>
  <c r="L43" i="33" l="1"/>
  <c r="H43" i="33"/>
  <c r="G99" i="39"/>
  <c r="I96" i="39" s="1"/>
  <c r="I83" i="39" s="1"/>
  <c r="L97" i="39"/>
  <c r="N43" i="33"/>
  <c r="I14" i="43"/>
  <c r="I15" i="43" s="1"/>
  <c r="I25" i="43" s="1"/>
  <c r="I27" i="43" s="1"/>
  <c r="I23" i="42"/>
  <c r="E23" i="42"/>
  <c r="F23" i="42" s="1"/>
  <c r="G23" i="42" s="1"/>
  <c r="AH82" i="42"/>
  <c r="AI82" i="42" s="1"/>
  <c r="AI81" i="42"/>
  <c r="AI98" i="42" s="1"/>
  <c r="P82" i="42"/>
  <c r="Q82" i="42" s="1"/>
  <c r="Q81" i="42"/>
  <c r="T98" i="42"/>
  <c r="T100" i="42" s="1"/>
  <c r="AF82" i="42"/>
  <c r="AG82" i="42" s="1"/>
  <c r="AG81" i="42"/>
  <c r="I11" i="42"/>
  <c r="E11" i="42"/>
  <c r="Q98" i="42"/>
  <c r="T82" i="42"/>
  <c r="U82" i="42" s="1"/>
  <c r="U81" i="42"/>
  <c r="U98" i="42" s="1"/>
  <c r="AB82" i="42"/>
  <c r="AC82" i="42" s="1"/>
  <c r="AC81" i="42"/>
  <c r="AC98" i="42" s="1"/>
  <c r="AG98" i="42"/>
  <c r="AN82" i="42"/>
  <c r="AO82" i="42" s="1"/>
  <c r="AO81" i="42"/>
  <c r="AO98" i="42" s="1"/>
  <c r="I24" i="42"/>
  <c r="E24" i="42"/>
  <c r="F24" i="42" s="1"/>
  <c r="G24" i="42" s="1"/>
  <c r="I12" i="42"/>
  <c r="E12" i="42"/>
  <c r="F12" i="42" s="1"/>
  <c r="G12" i="42" s="1"/>
  <c r="I9" i="42"/>
  <c r="E9" i="42"/>
  <c r="E33" i="42"/>
  <c r="I15" i="42"/>
  <c r="E15" i="42"/>
  <c r="F15" i="42" s="1"/>
  <c r="G15" i="42" s="1"/>
  <c r="AJ98" i="42"/>
  <c r="AJ100" i="42" s="1"/>
  <c r="AH98" i="42"/>
  <c r="AH100" i="42" s="1"/>
  <c r="X82" i="42"/>
  <c r="Y82" i="42" s="1"/>
  <c r="Y81" i="42"/>
  <c r="Y98" i="42" s="1"/>
  <c r="AB98" i="42"/>
  <c r="AB100" i="42" s="1"/>
  <c r="AN98" i="42"/>
  <c r="AN100" i="42" s="1"/>
  <c r="AS81" i="42"/>
  <c r="AR82" i="42"/>
  <c r="AS82" i="42" s="1"/>
  <c r="AS98" i="42" s="1"/>
  <c r="AJ82" i="42"/>
  <c r="AK82" i="42" s="1"/>
  <c r="AK81" i="42"/>
  <c r="AK98" i="42" s="1"/>
  <c r="L11" i="49" l="1"/>
  <c r="F10" i="50"/>
  <c r="G10" i="50" s="1"/>
  <c r="G12" i="50" s="1"/>
  <c r="G22" i="50" s="1"/>
  <c r="K10" i="3"/>
  <c r="P10" i="3" s="1"/>
  <c r="I28" i="43"/>
  <c r="I29" i="43" s="1"/>
  <c r="I30" i="43" s="1"/>
  <c r="I31" i="43" s="1"/>
  <c r="L12" i="49" s="1"/>
  <c r="G23" i="49" s="1"/>
  <c r="I18" i="42"/>
  <c r="E18" i="42"/>
  <c r="F18" i="42" s="1"/>
  <c r="G18" i="42" s="1"/>
  <c r="I17" i="42"/>
  <c r="E17" i="42"/>
  <c r="F17" i="42" s="1"/>
  <c r="G17" i="42" s="1"/>
  <c r="I20" i="42"/>
  <c r="E20" i="42"/>
  <c r="F20" i="42" s="1"/>
  <c r="G20" i="42" s="1"/>
  <c r="I19" i="42"/>
  <c r="E19" i="42"/>
  <c r="F19" i="42" s="1"/>
  <c r="G19" i="42" s="1"/>
  <c r="I10" i="42"/>
  <c r="E10" i="42"/>
  <c r="I22" i="42"/>
  <c r="E22" i="42"/>
  <c r="F22" i="42" s="1"/>
  <c r="G22" i="42" s="1"/>
  <c r="I21" i="42"/>
  <c r="E21" i="42"/>
  <c r="F21" i="42" s="1"/>
  <c r="G21" i="42" s="1"/>
  <c r="I8" i="42"/>
  <c r="E8" i="42"/>
  <c r="I14" i="42"/>
  <c r="E14" i="42"/>
  <c r="F14" i="42" s="1"/>
  <c r="G14" i="42" s="1"/>
  <c r="I16" i="42"/>
  <c r="E16" i="42"/>
  <c r="F16" i="42" s="1"/>
  <c r="G16" i="42" s="1"/>
  <c r="E27" i="42"/>
  <c r="F9" i="42"/>
  <c r="I13" i="42"/>
  <c r="E13" i="42"/>
  <c r="F13" i="42" s="1"/>
  <c r="G13" i="42" s="1"/>
  <c r="E29" i="42"/>
  <c r="F11" i="42"/>
  <c r="X98" i="42"/>
  <c r="X100" i="42" s="1"/>
  <c r="AR98" i="42"/>
  <c r="AR100" i="42" s="1"/>
  <c r="AF98" i="42"/>
  <c r="AF100" i="42" s="1"/>
  <c r="P98" i="42"/>
  <c r="P100" i="42" s="1"/>
  <c r="L13" i="49" l="1"/>
  <c r="L21" i="49" s="1"/>
  <c r="Q10" i="3"/>
  <c r="U10" i="3"/>
  <c r="V10" i="3" s="1"/>
  <c r="K11" i="3"/>
  <c r="P11" i="3" s="1"/>
  <c r="G11" i="3"/>
  <c r="F29" i="42"/>
  <c r="G29" i="42" s="1"/>
  <c r="G11" i="42"/>
  <c r="G9" i="42"/>
  <c r="F27" i="42"/>
  <c r="G27" i="42" s="1"/>
  <c r="E31" i="42"/>
  <c r="E30" i="42"/>
  <c r="E26" i="42"/>
  <c r="F33" i="42"/>
  <c r="G33" i="42" s="1"/>
  <c r="F8" i="42"/>
  <c r="E32" i="42"/>
  <c r="E28" i="42"/>
  <c r="F10" i="42"/>
  <c r="U11" i="3" l="1"/>
  <c r="V11" i="3" s="1"/>
  <c r="Q11" i="3"/>
  <c r="F28" i="42"/>
  <c r="G28" i="42" s="1"/>
  <c r="G10" i="42"/>
  <c r="F31" i="42"/>
  <c r="G31" i="42" s="1"/>
  <c r="F32" i="42"/>
  <c r="G32" i="42" s="1"/>
  <c r="F26" i="42"/>
  <c r="G26" i="42" s="1"/>
  <c r="G8" i="42"/>
  <c r="F30" i="42"/>
  <c r="G30" i="42" s="1"/>
  <c r="P17" i="3" l="1"/>
  <c r="Q17" i="3" s="1"/>
  <c r="G20" i="3"/>
  <c r="G21" i="3" s="1"/>
  <c r="L11" i="3"/>
  <c r="V12" i="3"/>
  <c r="L10" i="3"/>
  <c r="L12" i="3" s="1"/>
  <c r="L22" i="3" s="1"/>
  <c r="G10" i="3"/>
  <c r="G12" i="3" s="1"/>
  <c r="G22" i="3" s="1"/>
  <c r="C11" i="45" l="1"/>
  <c r="F8" i="45"/>
  <c r="U17" i="3"/>
  <c r="V17" i="3" s="1"/>
  <c r="Q20" i="3"/>
  <c r="Q21" i="3" s="1"/>
  <c r="D8" i="45" l="1"/>
  <c r="D12" i="45" s="1"/>
  <c r="C8" i="45"/>
  <c r="C12" i="45" s="1"/>
  <c r="E11" i="45"/>
  <c r="Q12" i="3"/>
  <c r="Q22" i="3" s="1"/>
  <c r="V20" i="3"/>
  <c r="V21" i="3" s="1"/>
  <c r="V22" i="3" s="1"/>
  <c r="F11" i="45" l="1"/>
  <c r="F12" i="45" s="1"/>
  <c r="E8" i="45"/>
  <c r="E12" i="45" s="1"/>
  <c r="K25" i="3"/>
  <c r="G23" i="3" l="1"/>
  <c r="F13" i="45"/>
  <c r="K26" i="3"/>
  <c r="G25" i="3" l="1"/>
</calcChain>
</file>

<file path=xl/sharedStrings.xml><?xml version="1.0" encoding="utf-8"?>
<sst xmlns="http://schemas.openxmlformats.org/spreadsheetml/2006/main" count="3845" uniqueCount="637">
  <si>
    <t>CANTIDAD</t>
  </si>
  <si>
    <t>VALOR UNITARIO</t>
  </si>
  <si>
    <t>Mes</t>
  </si>
  <si>
    <t>TOTAL</t>
  </si>
  <si>
    <t>ACTIVIDAD</t>
  </si>
  <si>
    <t>ITEM</t>
  </si>
  <si>
    <t>SUBTOTAL POR VIGENCIA</t>
  </si>
  <si>
    <t>UNIDAD DE MEDIDA</t>
  </si>
  <si>
    <t>DESCRIPCION</t>
  </si>
  <si>
    <t>COMPONENTE</t>
  </si>
  <si>
    <t>VALOR POR COMPONENTE</t>
  </si>
  <si>
    <t>VALOR DE LA ACTIVIDAD POR AÑO</t>
  </si>
  <si>
    <t xml:space="preserve">VALOR TOTAL DE LA META </t>
  </si>
  <si>
    <t>Unidad</t>
  </si>
  <si>
    <t>PROMEDIO DE PRECIOS DE MERCADO</t>
  </si>
  <si>
    <t>VALOR TOTAL</t>
  </si>
  <si>
    <t>COSTO TOTAL</t>
  </si>
  <si>
    <t>Lamina galvanizada cal 16" de 1,2mx2,4m</t>
  </si>
  <si>
    <t>Wash primer</t>
  </si>
  <si>
    <t>Esmalte</t>
  </si>
  <si>
    <t>Tiner Disolvente</t>
  </si>
  <si>
    <t>Soldadura (Kg) 6013</t>
  </si>
  <si>
    <t>Tornilleria</t>
  </si>
  <si>
    <t>Angulo 2*2*1/4</t>
  </si>
  <si>
    <t>Angulo 2*2*1/8</t>
  </si>
  <si>
    <t>Cemento</t>
  </si>
  <si>
    <t>Arena</t>
  </si>
  <si>
    <t>Triturado</t>
  </si>
  <si>
    <t>Cinta Grado ingenieria 60cmsx60cm</t>
  </si>
  <si>
    <t>INSPECCION DE TRANSITO Y TRANSPORTE DE BARRANCABERMEJA</t>
  </si>
  <si>
    <t>ANALISIS DE PRECIOS UNITARIOS</t>
  </si>
  <si>
    <t>Cortadora de lámina</t>
  </si>
  <si>
    <t>Equipo de pintura</t>
  </si>
  <si>
    <t>Cortadora de Angulo</t>
  </si>
  <si>
    <t>Equipo para soldar</t>
  </si>
  <si>
    <t>Equipo de serigrafía</t>
  </si>
  <si>
    <t>Camioneta</t>
  </si>
  <si>
    <t>Cantidad</t>
  </si>
  <si>
    <t>Aticorrosivo</t>
  </si>
  <si>
    <t>Soldador</t>
  </si>
  <si>
    <t>Ayudante Tipo DD</t>
  </si>
  <si>
    <t>Ayudante Tipo CC</t>
  </si>
  <si>
    <t>Pintor</t>
  </si>
  <si>
    <t>Ayudante Tipo AA</t>
  </si>
  <si>
    <t>Serigrafista</t>
  </si>
  <si>
    <t>Valor Total</t>
  </si>
  <si>
    <t>SUBTOTAL</t>
  </si>
  <si>
    <t>UNIDAD MEDIDA</t>
  </si>
  <si>
    <t xml:space="preserve">VALOR TOTAL </t>
  </si>
  <si>
    <t>SECRETARIA DE INFRAESTRUCTURA</t>
  </si>
  <si>
    <t>MUNICIPIO DE BARRANCABERMEJA</t>
  </si>
  <si>
    <t>CODIGO</t>
  </si>
  <si>
    <t>JORNAL</t>
  </si>
  <si>
    <t>PRESTACIONES SOCIALES</t>
  </si>
  <si>
    <t>JORNAL INTEGRAL</t>
  </si>
  <si>
    <t>CON SUBSIDIO</t>
  </si>
  <si>
    <t>INCREMENTO</t>
  </si>
  <si>
    <t>SALARIO Y</t>
  </si>
  <si>
    <t>INTEGRAL</t>
  </si>
  <si>
    <t>ALIMENTACION</t>
  </si>
  <si>
    <t>PRESTACION</t>
  </si>
  <si>
    <t>AYUDANTE CUAD. TIPO AA</t>
  </si>
  <si>
    <t>AYUDANTE CUAD. TIPO BB</t>
  </si>
  <si>
    <t>AYUDANTE CUAD. TIPO CC</t>
  </si>
  <si>
    <t>AYUDANTE CUAD. TIPO DD</t>
  </si>
  <si>
    <t>AYUDANTE PRACTICO</t>
  </si>
  <si>
    <t xml:space="preserve">OFICIAL CUAD. TIPO AA </t>
  </si>
  <si>
    <t>OFICIAL CUAD. TIPO BB</t>
  </si>
  <si>
    <t>OFICIAL CUAD. TIPO CC</t>
  </si>
  <si>
    <t>OFICIAL CUAD. TIPO DD</t>
  </si>
  <si>
    <t>OFICIAL ESPECIALIZADO</t>
  </si>
  <si>
    <t>CONTRAMAESTRO</t>
  </si>
  <si>
    <t>MAESTRO</t>
  </si>
  <si>
    <t>TOPOGRAFO</t>
  </si>
  <si>
    <t>CADENERO</t>
  </si>
  <si>
    <t>CELADOR</t>
  </si>
  <si>
    <t>ALMACENISTA</t>
  </si>
  <si>
    <t>SECRETARIA</t>
  </si>
  <si>
    <t>Salario mínimo</t>
  </si>
  <si>
    <t>INGENIERO RESIDENTE</t>
  </si>
  <si>
    <t>Auxilio transporte</t>
  </si>
  <si>
    <t>AYUD.+OFICIAL CUAD. AA</t>
  </si>
  <si>
    <t>Hora diurna</t>
  </si>
  <si>
    <t>AYUD.+OFICIAL CUAD. BB</t>
  </si>
  <si>
    <t>Hora nocturna</t>
  </si>
  <si>
    <t>AYUD.+OFICIAL CUAD. CC</t>
  </si>
  <si>
    <t>Hora diurna en domin y festiv</t>
  </si>
  <si>
    <t>AYUD.+OFICIAL CUAD. DD</t>
  </si>
  <si>
    <t>Hora nocturna en domin y festiv</t>
  </si>
  <si>
    <t>AYUD.+PRAC.+OFICIAL CUAD. AA</t>
  </si>
  <si>
    <t>Hora extra diurna</t>
  </si>
  <si>
    <t>AYUD.+CADEN.+TOPOG</t>
  </si>
  <si>
    <t>Hora extra noctuna</t>
  </si>
  <si>
    <t>3 AYUD.+OFICIAL CUAD AA</t>
  </si>
  <si>
    <t>Hora extra en domin y festiva diurna</t>
  </si>
  <si>
    <t>RASTRILLERO</t>
  </si>
  <si>
    <t>Hora extra en domin y festiva nocturna</t>
  </si>
  <si>
    <t>SOLDADOR</t>
  </si>
  <si>
    <t>ANALISIS DE PRESTACIONES SOCIALES</t>
  </si>
  <si>
    <t>Cesantías</t>
  </si>
  <si>
    <t>Intereses sobre Cesantías</t>
  </si>
  <si>
    <t>Vacaciones</t>
  </si>
  <si>
    <t>Prima de Servicios</t>
  </si>
  <si>
    <t>Subsidio de Transporte</t>
  </si>
  <si>
    <t>Aportes al Sena</t>
  </si>
  <si>
    <t>Aportes a Bienestar Familiar</t>
  </si>
  <si>
    <t>Caja de Compensación Familiar</t>
  </si>
  <si>
    <t>Instituto de Seguros Sociales (Salud)</t>
  </si>
  <si>
    <t>Instituto de Seguros Sociales (Pensión)</t>
  </si>
  <si>
    <t>Riesgos Profesionales</t>
  </si>
  <si>
    <t>Dotación</t>
  </si>
  <si>
    <t>FIC. Sena</t>
  </si>
  <si>
    <t>TOTAL PRESTACIONES SOCIALES</t>
  </si>
  <si>
    <t>SUBSIDIO TRANSPORTE</t>
  </si>
  <si>
    <t>MENSUAL</t>
  </si>
  <si>
    <t>ANUAL</t>
  </si>
  <si>
    <t>DIARIO</t>
  </si>
  <si>
    <t>A.I.U.</t>
  </si>
  <si>
    <t>DESPERDICIO:</t>
  </si>
  <si>
    <t>SALARIO MINIMO</t>
  </si>
  <si>
    <t xml:space="preserve">VALOR     </t>
  </si>
  <si>
    <t>REF</t>
  </si>
  <si>
    <t>VALOR</t>
  </si>
  <si>
    <t xml:space="preserve">VALOR </t>
  </si>
  <si>
    <t>A</t>
  </si>
  <si>
    <t>B</t>
  </si>
  <si>
    <t>TOTAL MENSUAL</t>
  </si>
  <si>
    <t>C</t>
  </si>
  <si>
    <t>D</t>
  </si>
  <si>
    <t>ANUAL+SUBSIDIO TRANSP.</t>
  </si>
  <si>
    <t>E</t>
  </si>
  <si>
    <t>CONCEPTO</t>
  </si>
  <si>
    <t>BASE</t>
  </si>
  <si>
    <t>FACTOR</t>
  </si>
  <si>
    <t>%</t>
  </si>
  <si>
    <t>Salario anual ( 365 Dias)</t>
  </si>
  <si>
    <t>Subsidio de transporte</t>
  </si>
  <si>
    <t>PRESTACIONES</t>
  </si>
  <si>
    <t>Cesantia anual</t>
  </si>
  <si>
    <t>intereses cesantias</t>
  </si>
  <si>
    <t>Cesan</t>
  </si>
  <si>
    <t>Vacaciones 15 dias</t>
  </si>
  <si>
    <t>Prima de servicios 30 dias</t>
  </si>
  <si>
    <t>OTROS COSTOS</t>
  </si>
  <si>
    <t>Botas, overol y camisa</t>
  </si>
  <si>
    <t>Implementos de seguridad</t>
  </si>
  <si>
    <t>SEGURIDAD SOCIAL</t>
  </si>
  <si>
    <t>Pensiones</t>
  </si>
  <si>
    <t>Medicina familiar</t>
  </si>
  <si>
    <t>Riesgos profesionales</t>
  </si>
  <si>
    <t>APORTES SENA</t>
  </si>
  <si>
    <t>Aporte ordinario</t>
  </si>
  <si>
    <t>F.I.C.</t>
  </si>
  <si>
    <t>OTROS APORTES</t>
  </si>
  <si>
    <t>I.C.B.F.</t>
  </si>
  <si>
    <t>Subsidio familiar</t>
  </si>
  <si>
    <t>VALOR REAL DEL SALARIO</t>
  </si>
  <si>
    <t>COTIZACIONES</t>
  </si>
  <si>
    <t>Inspector</t>
  </si>
  <si>
    <t>Operador</t>
  </si>
  <si>
    <t>Premarcador</t>
  </si>
  <si>
    <t>Ayudante AA</t>
  </si>
  <si>
    <t>Maquina aplicadora de pintura</t>
  </si>
  <si>
    <t>Ayudante CC</t>
  </si>
  <si>
    <t>Imprimante</t>
  </si>
  <si>
    <t>ANÁLISIS DE PRECIOS UNITARIOS A.P.U.</t>
  </si>
  <si>
    <t>DESCRIPCIÓN</t>
  </si>
  <si>
    <t>PROYECTO "SUMINISTRO E INSTALACIÓN DE SEÑALIZACION VIAL EN EL MUNICIPIO DE BARRANCABERMEJA"</t>
  </si>
  <si>
    <t>Persona</t>
  </si>
  <si>
    <t>UNIDAD</t>
  </si>
  <si>
    <t>GASTOS DEDUCCIONES Y CONTRIBUCIONES</t>
  </si>
  <si>
    <t>Hospit (4)</t>
  </si>
  <si>
    <t>Anciano (4)</t>
  </si>
  <si>
    <t>Cultura     (2)</t>
  </si>
  <si>
    <t>Fonmur (4)</t>
  </si>
  <si>
    <t>PRO - UIS</t>
  </si>
  <si>
    <t>Prodesarrollo   (4)</t>
  </si>
  <si>
    <t>Sobretasa Estamp Pro-uis, Pro-Desarrol, Pro-Hospital  (5)</t>
  </si>
  <si>
    <t>fondo de seguridad</t>
  </si>
  <si>
    <t>DEDUCIONES Y CONTRIBUCIONES</t>
  </si>
  <si>
    <t>DEDIC</t>
  </si>
  <si>
    <t>MESES</t>
  </si>
  <si>
    <t>TARIFA</t>
  </si>
  <si>
    <t>1.</t>
  </si>
  <si>
    <t>PERSONAL</t>
  </si>
  <si>
    <t>1.1</t>
  </si>
  <si>
    <t>PERSONAL DIRECTIVO Y RESIDENTE</t>
  </si>
  <si>
    <t>1.1.1</t>
  </si>
  <si>
    <t>Director de interventoria</t>
  </si>
  <si>
    <t>1.1.3</t>
  </si>
  <si>
    <t>1.1.4</t>
  </si>
  <si>
    <t>(1) SUB TOTAL PERSONAL</t>
  </si>
  <si>
    <t>2.</t>
  </si>
  <si>
    <t>GASTOS OPERACIONALES</t>
  </si>
  <si>
    <t>(2) SUB TOTAL GASTOS OPERACIONALES</t>
  </si>
  <si>
    <t>(3)=(1)+(2) SUBTOTAL</t>
  </si>
  <si>
    <t>(4) DEDUCCIONES Y CONTRIBUCIONES</t>
  </si>
  <si>
    <t>(3)+(4) SUB-TOTAL</t>
  </si>
  <si>
    <t>IVA</t>
  </si>
  <si>
    <t>DESCRIPCION COSTO</t>
  </si>
  <si>
    <t>CONVEN</t>
  </si>
  <si>
    <t>FORMULA DE CALCULO</t>
  </si>
  <si>
    <t>VALOR (%)</t>
  </si>
  <si>
    <t>1. REMUNERACION</t>
  </si>
  <si>
    <t>SUELDO</t>
  </si>
  <si>
    <t>S</t>
  </si>
  <si>
    <t>(S) = 100</t>
  </si>
  <si>
    <t>2. PRESTACIONES SOCIALES Y PARAFISCALES</t>
  </si>
  <si>
    <t>a) Prima Anual</t>
  </si>
  <si>
    <t>P</t>
  </si>
  <si>
    <t>P = S/12</t>
  </si>
  <si>
    <t>b) Cesantía</t>
  </si>
  <si>
    <t>C = S/12</t>
  </si>
  <si>
    <t>c) Intereses de Cesantías</t>
  </si>
  <si>
    <t>IC</t>
  </si>
  <si>
    <t>IC = 12% anual</t>
  </si>
  <si>
    <t>RP</t>
  </si>
  <si>
    <t>6,96% del salario</t>
  </si>
  <si>
    <t>SS</t>
  </si>
  <si>
    <t>12% pensión, del salario</t>
  </si>
  <si>
    <t>SF</t>
  </si>
  <si>
    <t>4,0% del salario</t>
  </si>
  <si>
    <t>BF</t>
  </si>
  <si>
    <t>3% del salario</t>
  </si>
  <si>
    <t>SN</t>
  </si>
  <si>
    <t>2% del salario</t>
  </si>
  <si>
    <t>TOTAL PRESTACIONES SOCIALES Y PARAFISCALES</t>
  </si>
  <si>
    <t>PS</t>
  </si>
  <si>
    <t>3. COSTOS INDIRECTOS, GASTOS E IMPREVISTOS</t>
  </si>
  <si>
    <t>unidad de medida</t>
  </si>
  <si>
    <t>a) Gastos Generales de la administración</t>
  </si>
  <si>
    <t>GG</t>
  </si>
  <si>
    <t>b) Otros gastos(legalización, polizas y seguros, entre otros)</t>
  </si>
  <si>
    <t>Global</t>
  </si>
  <si>
    <t>OG</t>
  </si>
  <si>
    <t>c) Imprevistos en gastos, personal</t>
  </si>
  <si>
    <t>I</t>
  </si>
  <si>
    <t xml:space="preserve">SUB-TOTAL </t>
  </si>
  <si>
    <t>CI</t>
  </si>
  <si>
    <t xml:space="preserve">4. SUB-TOTAL </t>
  </si>
  <si>
    <t>TC</t>
  </si>
  <si>
    <t>TC = PS+CI</t>
  </si>
  <si>
    <t>5. HONORARIOS O UTILIDAD</t>
  </si>
  <si>
    <t>H</t>
  </si>
  <si>
    <t>H = % estimado de (TC)</t>
  </si>
  <si>
    <t>FACTOR MULTIPLICADOR</t>
  </si>
  <si>
    <t>FM</t>
  </si>
  <si>
    <t>FM = (S+TC+H)/100)</t>
  </si>
  <si>
    <t>*** la exoneración aplica solo para aquellos empleados que devenguen menos de 10 salarios mínimos mensuales ($6.160.000), en este caso los aportes a salud corresponden al 4% del IBC (antes 12,5%)  y no se deben hacer aportes en SENA e ICBF. Para los empleados que devenguen 10 o más salarios mínimos se continúan realizando todos los aportes de forma normal. Ley 1607 de 26-12-2012</t>
  </si>
  <si>
    <t>Secretaria</t>
  </si>
  <si>
    <t>2.1.</t>
  </si>
  <si>
    <t>2.3.</t>
  </si>
  <si>
    <t>ANÁLISIS DE PRECIOS DE MERCADO VS. A.P.U.´s</t>
  </si>
  <si>
    <t>VALOR TOTAL 2016</t>
  </si>
  <si>
    <t>AÑO 2015</t>
  </si>
  <si>
    <t>AJUSTE CENTENA</t>
  </si>
  <si>
    <t>VALOR TOTAL DEL PROYECTO</t>
  </si>
  <si>
    <t>COSTO DIRECTO</t>
  </si>
  <si>
    <t>EJECUCIÓN</t>
  </si>
  <si>
    <t>OBRA</t>
  </si>
  <si>
    <t>sumin</t>
  </si>
  <si>
    <t>BARRANCABERMEJA</t>
  </si>
  <si>
    <t>Herramienta menor</t>
  </si>
  <si>
    <t>VALOR TOTAL 2017</t>
  </si>
  <si>
    <t>VALOR TOTAL 2018</t>
  </si>
  <si>
    <t>PILAR: SEGURIDAD HUMANA.</t>
  </si>
  <si>
    <t>LINEA ESTRATÉGICA: DESARROLLO TERRITORIAL.</t>
  </si>
  <si>
    <t>PROGRAMA: SISTEMA INTEGRAL DE CONTROL DE TRÁNSITO.</t>
  </si>
  <si>
    <t xml:space="preserve">Suministro de elementos e insumos para el mantenimiento de la red de Semáforos del Municipio de Barrancabermeja  </t>
  </si>
  <si>
    <t>Obra pública para la semaforización de Intersecciones Críticas</t>
  </si>
  <si>
    <t>Interventoría Obra Pública para la Semaforización  de Intersecciones Viales</t>
  </si>
  <si>
    <t>VALOR TOTAL 2019</t>
  </si>
  <si>
    <t>OBRA PÚBLICA PARA LA SEMAFORIZACIÓN DE INTERSECCIONES CRITICAS.</t>
  </si>
  <si>
    <t>Unidad de medida</t>
  </si>
  <si>
    <t>Cotizacion 1 (SICOT)</t>
  </si>
  <si>
    <t>Cotizacion 2 (CIRA)</t>
  </si>
  <si>
    <t>Cotizacion 3 - TINSA INGENIERIA LTDA</t>
  </si>
  <si>
    <t>PRELIMINARES</t>
  </si>
  <si>
    <t>Valor Unitario</t>
  </si>
  <si>
    <t>DESMANTELAMIENTO, RETIRO Y TRANSPORTE DE POSTES EXISTENTES.</t>
  </si>
  <si>
    <t>1.2</t>
  </si>
  <si>
    <t>DESMANTELAMIENTO, RETIRO Y TRANSPORTE DE SEMAFOROS VEHICULARES Y PEATONALES EXISTENTES.</t>
  </si>
  <si>
    <t>1.3</t>
  </si>
  <si>
    <t>DESMANTELAMIENTO, RETIRO Y TRANSPORTE DE CONTROLADOR EXISTENTE.</t>
  </si>
  <si>
    <t>1.4</t>
  </si>
  <si>
    <t>DESMANTELAMIENTO, RETIRO Y TRANSPORTE DE CABLEADO EXISTENTE.</t>
  </si>
  <si>
    <t>1.5</t>
  </si>
  <si>
    <t>DEMOLICION DE ESTRUCTURAS DE CONCRETO EXISTENTE</t>
  </si>
  <si>
    <t>EQUIPOS NUEVOS</t>
  </si>
  <si>
    <t>2.1</t>
  </si>
  <si>
    <t>UND</t>
  </si>
  <si>
    <t>2.2</t>
  </si>
  <si>
    <t>SUMINISTRO E INSTALACION DE EQUIPO ININTERRUMPIBLE DE SOPORTE UPS DE 1 HORA, POTENCIA DE 1KVA.</t>
  </si>
  <si>
    <t>2.3</t>
  </si>
  <si>
    <t>COMPRA DE SOFTWARE DE PROGRAMACION CON ACCESORIOS (PORTATIL Y OTROS), INCLUYE CAPACITACIÓN PARA PERSONAL TECNICO</t>
  </si>
  <si>
    <t>SEMAFOROS</t>
  </si>
  <si>
    <t>3.1</t>
  </si>
  <si>
    <t>SUMINISTRO E INSTALACION SEMAFORO VEHICULAR EN POLICARBONATO (3X200), ACCESORIOS DE FIJACION A MENSULA, LENTE EN POLICARBONATO DE 8", TRES LUCES, SISTEMA A LEDS, S2.</t>
  </si>
  <si>
    <t>3.2</t>
  </si>
  <si>
    <t>SUMINISTRO E INSTALACION SEMAFORO VEHICULAR EN POLICARBONATO (3X200), ACCESORIOS DE FIJACION A MASTIL, LENTE EN POLICARBONATO DE 8", TRES LUCES, SISTEMA A LEDS, S1.</t>
  </si>
  <si>
    <t>3.3</t>
  </si>
  <si>
    <t>POLICARBONATO (3X200), ACCESORIOS DE FIJACION A MASTIL, LENTE EN POLICARBONATO DE 8", DOS LUCES, SISTEMA A LEDS, S3 PEATONAL, CON ANIMACIÓN.</t>
  </si>
  <si>
    <t>METRO</t>
  </si>
  <si>
    <t>4.</t>
  </si>
  <si>
    <t>POSTES Y CABLEADO</t>
  </si>
  <si>
    <t>SUBTOTAL:</t>
  </si>
  <si>
    <t>4.1</t>
  </si>
  <si>
    <t>SUMINISTRO E INSTALACION POSTE METALICO TIPO T1 (MASTIL), 2.6 m. FABRICADO EN TUBERIA DE ACERO DE 4" Y 3", GALVANIZADO ACABADO EN PINTURA ELECTROSTÁTICA, ROJO-AMARILLO (INCLUYE TRANSPORTE).</t>
  </si>
  <si>
    <t>4.2</t>
  </si>
  <si>
    <t>SUMINISTRO E INSTALACION POSTE METALICO TIPO T2 (MENSULA), 3.6 m. BRAZO DE 5.5.M FABRICADO EN DOS SECCIONES EN TUBERIA DE ACERO DE 4" Y 3", GALVANIZADO ACABADO EN PINTURA ELECTROSTÁTICA, ROJO-AMARILLO (INCLUYE TRANSPORTE).</t>
  </si>
  <si>
    <t>4.3</t>
  </si>
  <si>
    <t>SUMINISTRO E INSTALACION CABLE ELECTRICO 4X16 AWG, CONDUCTOR SOLIDO CHAQUETA DE PROTECCION</t>
  </si>
  <si>
    <t>4.4</t>
  </si>
  <si>
    <t>SUMINISTRO E INSTALACION CABLE ELECTRICO 3X16 AWG, CONDUCTOR SOLIDO CHAQUETA DE PROTECCION</t>
  </si>
  <si>
    <t>4.5</t>
  </si>
  <si>
    <t>SUMINISTRO E INSTALACION CABLE ELECTRICO 2X8 AWG, CONDUCTOR SOLIDO CHAQUETA DE PROTECCION, PARA ACOMETIDA</t>
  </si>
  <si>
    <t>4.6</t>
  </si>
  <si>
    <t>SUMINSTRO E INSTALACION DE TUBO EN ACERO-GALVANIZADO DE 3MTS 1" CON CAPACETE, CAJA PARA BREAKER Y BREAKER DE 30 AMP., PARA LA ACOMETIDA (ALIMENTACION ELECTRICA DE A.C).</t>
  </si>
  <si>
    <t>4.7</t>
  </si>
  <si>
    <t>SUMINISTRO E INSTALACION DE TIERRA ELECTRICA DE PROTECCION PARA SOBRECARGAS.</t>
  </si>
  <si>
    <t>OBRA CIVIL</t>
  </si>
  <si>
    <t>5.1</t>
  </si>
  <si>
    <t>PERFORACION DIRIGIDA TIPO TUNEL EN 2"</t>
  </si>
  <si>
    <t>5.2</t>
  </si>
  <si>
    <t>CONSTRUCCION DE CANALIZACION EN ANDEN  CON ACABADO EN CONCRETO 3000 PSI CON TUBERIA PVC DE 3" (INCLUYE EXCAVACION, RELLENO Y FINALIZACION EN EL MISMO MATERIAL DE PAVIMENTO).</t>
  </si>
  <si>
    <t>5.3</t>
  </si>
  <si>
    <t>CONSTRUCCION DE CANALIZACION EN CALZADA CON ACABADO EN PAVIMENTO FLEXIBLE CON TUBERIA PVC DE 2". (INCLUYE EXCAVACION, RELLENO Y FINALIZACION EN EL MISMO MATERIAL DE PAVIMENTO).</t>
  </si>
  <si>
    <t>5.4</t>
  </si>
  <si>
    <t>ONSTRUCCION Y FUNDIDA DE CAJAS DE PASO 50X50 H=80</t>
  </si>
  <si>
    <t>CONSTRUCCION BASE EN CONCRETO PARA POSTES TIPO T1 Y T2 (INCLUYE EXCAVACION, CONCRETO DE 3.500 PSI, FUNDIDA Y SUMINISTRO  E INSTALACION ARMADURAS DE ANCLAJE).</t>
  </si>
  <si>
    <t>5.6</t>
  </si>
  <si>
    <t>CONSTRUCCION PEDESTAL EN CONCRETO DE 3.000 PSI, 30X40X100 CON DUCTO CENTRAL DE 3" PARA CAJA CONTROLADOR (INCLUYE EXCAVACION, FUNDIDA).</t>
  </si>
  <si>
    <t>5.7</t>
  </si>
  <si>
    <t>VALLA MOVIL DE 1,2 MTS (INCLUYE SUMINISTRO Y TRANSPORTE).</t>
  </si>
  <si>
    <t>5.8</t>
  </si>
  <si>
    <t>BOTADA DE MATERIAL (INCLUYE ACOPIO Y TRANSPORTE)</t>
  </si>
  <si>
    <t>GBL</t>
  </si>
  <si>
    <t>SEÑALIZACION</t>
  </si>
  <si>
    <t>6.1</t>
  </si>
  <si>
    <t>SEÑALIZACION HORIZONTAL EN LAS INTERSECCION SEMAFORIZADA, LINEAS DE PARE, CARRILES Y PASOS PEATONALES.</t>
  </si>
  <si>
    <t>M2</t>
  </si>
  <si>
    <t>6.2</t>
  </si>
  <si>
    <t>SEÑALIZACION VERTICAL EN LA INTERSECCION SEMAFORIZADA DE 60 x 60 CMS.</t>
  </si>
  <si>
    <t>6.3</t>
  </si>
  <si>
    <t>SEÑALIZACION DE PREVENCION CON CINTA Y AISLAMIENTO DE AREAS DE TRABAJO.</t>
  </si>
  <si>
    <t>ML</t>
  </si>
  <si>
    <t xml:space="preserve">COSTO TOTAL PROYECTO </t>
  </si>
  <si>
    <t>UNID</t>
  </si>
  <si>
    <t>CANT</t>
  </si>
  <si>
    <t>C/UNIT</t>
  </si>
  <si>
    <t>C/TOTAL</t>
  </si>
  <si>
    <t>SUMINISTRO E INSTALACION DE SEMAFORO PEATONAL EN POLICARBONATO (3X200), ACCESORIOS DE FIJACION A MASTIL, LENTE EN POLICARBONATO DE 8", DOS LUCES, SISTEMA A LEDS, S3 PEATONAL, CON ANIMACIÓN.</t>
  </si>
  <si>
    <t>Metro</t>
  </si>
  <si>
    <t>6.</t>
  </si>
  <si>
    <t>Metro Cuadrado</t>
  </si>
  <si>
    <t>Metro lineal</t>
  </si>
  <si>
    <t>SICOT LTDA</t>
  </si>
  <si>
    <t>CIRA S.A.</t>
  </si>
  <si>
    <t>TINSA INGENIERIA LTDA</t>
  </si>
  <si>
    <t>IVA (16%)</t>
  </si>
  <si>
    <t>Suministro de bombillos halogenos 12v / 10v- 55w, especiales para trafico con cable largo</t>
  </si>
  <si>
    <t>Suministro de bombillos incandescentes 69w 120v 8.000 horas</t>
  </si>
  <si>
    <t>Suministro de transformadores toroidales para semaforos con bombillos halogenos de 50w 10/12 voltios</t>
  </si>
  <si>
    <t xml:space="preserve">Baterias recargables cuadradas de 9v </t>
  </si>
  <si>
    <t>Cinta aislante 3m</t>
  </si>
  <si>
    <t xml:space="preserve">Suministro lentes rojos plasticos  para semaforos de 200 mm </t>
  </si>
  <si>
    <t>Amarres plasticos grandes de 20cms en bolsas</t>
  </si>
  <si>
    <t xml:space="preserve">Suministro fusibles de porcelana de 10 a/ 250 v  </t>
  </si>
  <si>
    <t xml:space="preserve">Suministro fusibles de porcelana de 5 a/ 250 v  </t>
  </si>
  <si>
    <t>Plato leds rojo para semaforo vehicular  de 200 mm</t>
  </si>
  <si>
    <t>Plato leds verde  para semaforo vehicular de 200 mm</t>
  </si>
  <si>
    <t>Limpiador espumoso</t>
  </si>
  <si>
    <t>Lanilla blanca</t>
  </si>
  <si>
    <t>Suministro de soldadura de estaño delgada</t>
  </si>
  <si>
    <t>Libra</t>
  </si>
  <si>
    <t xml:space="preserve">Modulo peatonal animado verde tipo leds con la fuente </t>
  </si>
  <si>
    <t>Modulo peatonal animado rojo tipo leds con la fuente  y contador</t>
  </si>
  <si>
    <r>
      <t xml:space="preserve">Lampara con brazo articulado y lupa </t>
    </r>
    <r>
      <rPr>
        <sz val="8"/>
        <color indexed="8"/>
        <rFont val="Arial"/>
        <family val="2"/>
      </rPr>
      <t>longitud del brazo: 105cm anchura: 24cm altura: 6cm dioptría lupa: ø 120mm - ampliación 2.25x - color negro.</t>
    </r>
  </si>
  <si>
    <t>INSPECCION DE TRANSITO</t>
  </si>
  <si>
    <t>Y TRANSPORTE DE</t>
  </si>
  <si>
    <t>OBRA :</t>
  </si>
  <si>
    <t>REPOSICION DE DEMAFORIZACION</t>
  </si>
  <si>
    <t>CAPITULO :</t>
  </si>
  <si>
    <t xml:space="preserve">UNIDAD : </t>
  </si>
  <si>
    <t>ITEM :</t>
  </si>
  <si>
    <t xml:space="preserve">FECHA : </t>
  </si>
  <si>
    <t>EQUIPO Y HERRAMIENTA</t>
  </si>
  <si>
    <t>TARIFA DIA</t>
  </si>
  <si>
    <t>RENDIMIENTO</t>
  </si>
  <si>
    <t>CANT.</t>
  </si>
  <si>
    <t>( 1 EQUIPO)</t>
  </si>
  <si>
    <t>UNIDAD / DIA</t>
  </si>
  <si>
    <t xml:space="preserve"> PARCIAL</t>
  </si>
  <si>
    <t>( a )</t>
  </si>
  <si>
    <t>( b )</t>
  </si>
  <si>
    <t>( c )</t>
  </si>
  <si>
    <t>( a x b ) / c</t>
  </si>
  <si>
    <t>Carro grua de apoyo para desmantelamiento</t>
  </si>
  <si>
    <t>SUB TOTAL</t>
  </si>
  <si>
    <t>MATERIALES</t>
  </si>
  <si>
    <t>UNITARIO</t>
  </si>
  <si>
    <t>( d )</t>
  </si>
  <si>
    <t>( e )</t>
  </si>
  <si>
    <t>( d x e )</t>
  </si>
  <si>
    <t>SUB-TOTAL</t>
  </si>
  <si>
    <t>% DESPERDICIOS</t>
  </si>
  <si>
    <t>SUB-TOTAL MATERIALES</t>
  </si>
  <si>
    <t>3.</t>
  </si>
  <si>
    <t>MANO DE OBRA</t>
  </si>
  <si>
    <t>Integral / dia</t>
  </si>
  <si>
    <t>( f )</t>
  </si>
  <si>
    <t>( g )</t>
  </si>
  <si>
    <t>( h )</t>
  </si>
  <si>
    <t>( f x g ) / h</t>
  </si>
  <si>
    <t>Obrero</t>
  </si>
  <si>
    <t>Oficial</t>
  </si>
  <si>
    <t>OTROS CONCEPTOS</t>
  </si>
  <si>
    <t>( i )</t>
  </si>
  <si>
    <t>( j )</t>
  </si>
  <si>
    <t>( k )</t>
  </si>
  <si>
    <t>( i x j x k )</t>
  </si>
  <si>
    <t>Transporte de postes antíguos</t>
  </si>
  <si>
    <t>TOTAL COSTO DIRECTO : ( 1+2+3+4 )</t>
  </si>
  <si>
    <t>A.I.U</t>
  </si>
  <si>
    <t>PRECIO UNITARIO TOTAL</t>
  </si>
  <si>
    <t>________________________________________</t>
  </si>
  <si>
    <t>Transporte de semáforos antíguos</t>
  </si>
  <si>
    <t xml:space="preserve">REPOSICION DE DEMAFORIZACION    </t>
  </si>
  <si>
    <t>Accesorios para desmonte de controlador</t>
  </si>
  <si>
    <t>UD</t>
  </si>
  <si>
    <t>Tecnico Electronico</t>
  </si>
  <si>
    <t>Transporte de controlador antíguo</t>
  </si>
  <si>
    <t>Accesorios para retiro de cableado</t>
  </si>
  <si>
    <t>Transporte de cableado antíguo</t>
  </si>
  <si>
    <t>Compresor con martillo neumático</t>
  </si>
  <si>
    <t>Cortadora de pavimento</t>
  </si>
  <si>
    <t>1.6</t>
  </si>
  <si>
    <t>Transporte de escombro</t>
  </si>
  <si>
    <t>REPOSICION DE SEMAFORIZACION INTERSECCIONES VIALES</t>
  </si>
  <si>
    <t>Equipo de control de tráfico para (16) grupos vehiculares y/o peatonales</t>
  </si>
  <si>
    <t>Equipo para montaje</t>
  </si>
  <si>
    <t>Ingeniero Electronico</t>
  </si>
  <si>
    <t>Tecnologo Electronico</t>
  </si>
  <si>
    <t>Equipo ininterrumpible de soporte UPS</t>
  </si>
  <si>
    <t>Baterias</t>
  </si>
  <si>
    <t>Cableado y accesorios</t>
  </si>
  <si>
    <t>No.</t>
  </si>
  <si>
    <t xml:space="preserve">Gabinete </t>
  </si>
  <si>
    <t>Transporte</t>
  </si>
  <si>
    <t xml:space="preserve">1.1 </t>
  </si>
  <si>
    <t>Programa (software)</t>
  </si>
  <si>
    <t>Accesorios</t>
  </si>
  <si>
    <t>Elementos de programación</t>
  </si>
  <si>
    <t>Ingeniero Electrónico</t>
  </si>
  <si>
    <t>Capacitación</t>
  </si>
  <si>
    <t xml:space="preserve">3. </t>
  </si>
  <si>
    <t>SEMÁFOROS</t>
  </si>
  <si>
    <t xml:space="preserve">3.1 </t>
  </si>
  <si>
    <t>Semáforo tipo S2 con accesorio de fijación a mensula, LEDS, lente en policarbonato de 8'', tres luces</t>
  </si>
  <si>
    <t>Elementos eléctricos</t>
  </si>
  <si>
    <t xml:space="preserve">REPOSICION DE SEMAFORIZACION INTERSECCIONES VIALES    </t>
  </si>
  <si>
    <t>Semáforo tipo S1, con accesorio de fijación a mastil, LEDS, lente en policarbonato de 8'', tres luces</t>
  </si>
  <si>
    <t>Elementos eléctrIcos</t>
  </si>
  <si>
    <t>GLB</t>
  </si>
  <si>
    <t>SUMINISTRO E INSTALACION SEMAFORO PEATONAL EN POLICARBONATO (3X200), ACCESORIOS DE FIJACION A MASTIL, LENTE EN POLICARBONATO DE 8", DOS LUCES, SISTEMA A LEDS, S3 PEATONAL, CON ANIMACIÓN.</t>
  </si>
  <si>
    <t>Semáforo peatonal tipo  S3, con accesorio de fijación a mastil, LEDS, lente en policarbonato de 8'', tres luces</t>
  </si>
  <si>
    <t>Equipo de pintura electroestática</t>
  </si>
  <si>
    <t>Tubo metálico galvanizado diametro 4''</t>
  </si>
  <si>
    <t xml:space="preserve">Tubo metálico galvanizado diametro 3'' </t>
  </si>
  <si>
    <t>Pintura electroestática negro</t>
  </si>
  <si>
    <t>KG</t>
  </si>
  <si>
    <t>2.4</t>
  </si>
  <si>
    <t>Pintura electroestática amarilla</t>
  </si>
  <si>
    <t xml:space="preserve">Transporte de equipo </t>
  </si>
  <si>
    <t>POSTES Y CABLEADOS</t>
  </si>
  <si>
    <t xml:space="preserve">Tubo metálico galvanizado diametro 4'' brazo 5,5m </t>
  </si>
  <si>
    <t xml:space="preserve">Tubo metálico galvanizado diametro 4'' ménsula 3,5m </t>
  </si>
  <si>
    <t>Transporte de Material</t>
  </si>
  <si>
    <t>Cable electrico 4x16 AWG con conductor solido y chaqueta de proteccion</t>
  </si>
  <si>
    <t>2.5</t>
  </si>
  <si>
    <t>2.6</t>
  </si>
  <si>
    <t>2.7</t>
  </si>
  <si>
    <t>Cable 3x16 AWG conductor solido y chaqueta</t>
  </si>
  <si>
    <t>Cable 2x8 AWG conductor solido y chaqueta</t>
  </si>
  <si>
    <t>Tubo en acero galvanizado 1"</t>
  </si>
  <si>
    <t>Caja breaker</t>
  </si>
  <si>
    <t>Breaker de 30 AMP</t>
  </si>
  <si>
    <t>Transporte de material</t>
  </si>
  <si>
    <t>\</t>
  </si>
  <si>
    <t>Varilla de cobre</t>
  </si>
  <si>
    <t>Cable de cobre</t>
  </si>
  <si>
    <t xml:space="preserve">Transporte </t>
  </si>
  <si>
    <t>5.</t>
  </si>
  <si>
    <t>Equipo de perforación de 2''</t>
  </si>
  <si>
    <t>Tubo Electrico PVC 3''</t>
  </si>
  <si>
    <t>Trompo mezclador de bulto y medio</t>
  </si>
  <si>
    <t>Vibrocompactador</t>
  </si>
  <si>
    <t>M3</t>
  </si>
  <si>
    <t>BLT</t>
  </si>
  <si>
    <t>CONSTRUCCION DE CANALIZACION EN ANDEN  CON ACABADO EN CONCRETO 3000 PSI CON TUBERIA PVC DE 2" (INCLUYE EXCAVACION, RELLENO Y FINALIZACION EN EL MISMO MATERIAL DE PAVIMENTO).</t>
  </si>
  <si>
    <t>Tubo Electrico PVC 2''</t>
  </si>
  <si>
    <t>CONSTRUCCION Y FUNDIDA DE CAJAS DE PASO 50X50 H=80</t>
  </si>
  <si>
    <t>Formaleta (60 x 1,20mts)</t>
  </si>
  <si>
    <t>Arena (Incluye transporte de material)</t>
  </si>
  <si>
    <t>Triturado (Incluye transporte de material)</t>
  </si>
  <si>
    <t>Acero de refuerzo para caja (3/8'')</t>
  </si>
  <si>
    <t>Concreto de 3000 PSI para tapa</t>
  </si>
  <si>
    <t>Acero de refuerzo para tapa (3/8'')</t>
  </si>
  <si>
    <t>5.5</t>
  </si>
  <si>
    <t>CONSTRUCCION Y FUNDIDA DE CAJAS DE DISTRIBUCION 1,0X0,8 H=1,0  MTS</t>
  </si>
  <si>
    <t>Herro figurado y armado (3/8'')</t>
  </si>
  <si>
    <t>Valla  Reflectiva</t>
  </si>
  <si>
    <t>4.9</t>
  </si>
  <si>
    <t>Volqueta ( Alquiler )</t>
  </si>
  <si>
    <t>SEÑALIZACION HORIZONTAL EN LAS INTERSECCION SEMAFORIZADA, LINEAS DE PARE, CARRILES Y PASOS PEATONALES CON IMPRIMANTE EN M2.</t>
  </si>
  <si>
    <t xml:space="preserve">Carro de apoyo </t>
  </si>
  <si>
    <t>Pintura acrílica</t>
  </si>
  <si>
    <t xml:space="preserve">Galón </t>
  </si>
  <si>
    <t>Disolvente ajustador</t>
  </si>
  <si>
    <t>3.4</t>
  </si>
  <si>
    <t>3.5</t>
  </si>
  <si>
    <t>EQUIPO Y TRANSPORTE</t>
  </si>
  <si>
    <t>MATERIALES EN OBRA</t>
  </si>
  <si>
    <t>2.8</t>
  </si>
  <si>
    <t>2.9</t>
  </si>
  <si>
    <t>2.10</t>
  </si>
  <si>
    <t>2.11</t>
  </si>
  <si>
    <t>2.12</t>
  </si>
  <si>
    <t>2.13</t>
  </si>
  <si>
    <t>3.6</t>
  </si>
  <si>
    <t>3.7</t>
  </si>
  <si>
    <t>TOTAL COSTO DIRECTO : ( 1+2+3 )</t>
  </si>
  <si>
    <t>Cinta de señalización C-390 75 x 100</t>
  </si>
  <si>
    <t>Palos de 2 x 2</t>
  </si>
  <si>
    <t>Concreto 1;2;3- 2000 PSI (Materiales)</t>
  </si>
  <si>
    <t>MANO DE OBRA   AÑO 2016</t>
  </si>
  <si>
    <r>
      <t>AÑO 201</t>
    </r>
    <r>
      <rPr>
        <b/>
        <sz val="10"/>
        <color indexed="8"/>
        <rFont val="Arial"/>
        <family val="2"/>
      </rPr>
      <t>6</t>
    </r>
  </si>
  <si>
    <t>PRESUPUESTO DE INTERVENTORÍA PARA LA SEMAFORIZACIÓN DE</t>
  </si>
  <si>
    <t>INTERSECCIONES VIALES</t>
  </si>
  <si>
    <t>Campero, Pick Up, camioneta, camion o similar (1300-2000) $/mes</t>
  </si>
  <si>
    <t>2.2.</t>
  </si>
  <si>
    <t>Alquiler de equipo de computo</t>
  </si>
  <si>
    <t>Elaboración y presentación de informes (incluye: edición,registros fotograficos,fotocopia,papelería, archivos en medio magnetico)</t>
  </si>
  <si>
    <t>PRESUPUESTO  TOTAL</t>
  </si>
  <si>
    <t>d) Vacaciones</t>
  </si>
  <si>
    <t>V</t>
  </si>
  <si>
    <t>4,17% del salario</t>
  </si>
  <si>
    <t xml:space="preserve">e) Subsidio Familiar </t>
  </si>
  <si>
    <t>f) Pensiones</t>
  </si>
  <si>
    <t>g) Riesgos Profesionales</t>
  </si>
  <si>
    <t>h) I. C. B. F.***</t>
  </si>
  <si>
    <t>i) SENA***</t>
  </si>
  <si>
    <t>j) Salud</t>
  </si>
  <si>
    <t>SA</t>
  </si>
  <si>
    <t>k) Dotación</t>
  </si>
  <si>
    <t>1. META 1: Semaforizar cuatro (4) nuevas intersecciones viales, durante el cuatrienio.</t>
  </si>
  <si>
    <t>2. META 2: Mantener la Red de Semáforos, durante el cuatrienio.</t>
  </si>
  <si>
    <t>1.1. ACTIVIDAD 1: Apoyo para el Obra pública para la semaforización de Intersecciones Críticas.</t>
  </si>
  <si>
    <t>2.1. ACTIVIDAD 2: Apoyo para el fortalecimiento de la red de semaforización en el municipio de Barrancabermeja.</t>
  </si>
  <si>
    <t>PRESUPUESTO CONSOLIDADO 2016 - 2019</t>
  </si>
  <si>
    <t>ANEXO FACTOR MULTIPLICADOR SOBRE COSTOS DE PERSONAL</t>
  </si>
  <si>
    <t>DURACION</t>
  </si>
  <si>
    <t>DEDICACIÓN</t>
  </si>
  <si>
    <t>V-PRECIO</t>
  </si>
  <si>
    <t>V-PARCIAL</t>
  </si>
  <si>
    <t>PORCENTAJES AIU</t>
  </si>
  <si>
    <t>A) ADMINISTRACION</t>
  </si>
  <si>
    <t>PERSONAL ADMINISTRATIVO</t>
  </si>
  <si>
    <t>MES</t>
  </si>
  <si>
    <t>*EL PRECIO ESTIMADO PARA EL PERSONAL CONSIDERA LOS APORTES PARAFISCALES, SEGURIDAD SOCIAL SEGÚN LO DISPUESTO EN LA LEY VIGENTE.</t>
  </si>
  <si>
    <t>GASTOS GENERALES</t>
  </si>
  <si>
    <t>GASTOS ADMINISTRATIVOS Y SOPORTE (ENSAYOS. ARRIENDOS, DOTACION, PAPELERIA, GARANTIAS, SERVICIOS FINANCIEROS, OTROS)</t>
  </si>
  <si>
    <t>GL</t>
  </si>
  <si>
    <t>EQUIPOS DE OFICINA</t>
  </si>
  <si>
    <t>GASTOS DE COMUNICACIONES</t>
  </si>
  <si>
    <t>OTROS</t>
  </si>
  <si>
    <t>DEDUCCIONES Y CONTRIBUCIONES (15,6%)</t>
  </si>
  <si>
    <t>(A) SUBTOTAL ADMINISTRACION</t>
  </si>
  <si>
    <t>B) IMPREVISTOS</t>
  </si>
  <si>
    <t>IMPREVISTOS</t>
  </si>
  <si>
    <t>IMPREVISTOS (2%)</t>
  </si>
  <si>
    <t>(B) SUBTOTAL</t>
  </si>
  <si>
    <t xml:space="preserve">C) UTILIDAD </t>
  </si>
  <si>
    <t>UTILIDAD ESPERADA (6%)</t>
  </si>
  <si>
    <t>(C)  SUBTOTAL</t>
  </si>
  <si>
    <t>(A+B+C) TOTAL (AIU)</t>
  </si>
  <si>
    <t>PRESUPUESTO OFICIAL</t>
  </si>
  <si>
    <t>DIRECTOR DE OBRA</t>
  </si>
  <si>
    <t xml:space="preserve">INGENIERO RESIDENTE </t>
  </si>
  <si>
    <t>INSPECTOR DE OBRA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</si>
  <si>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</si>
  <si>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</si>
  <si>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</si>
  <si>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</si>
  <si>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</si>
  <si>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</si>
  <si>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</si>
  <si>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</si>
  <si>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</si>
  <si>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</si>
  <si>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</si>
  <si>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</si>
  <si>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SUBTOTAL META 1</t>
  </si>
  <si>
    <t>SUBTOTAL META 2</t>
  </si>
  <si>
    <t>ANEXO A.I.U. OBRA SEMAFORIZACIÓN</t>
  </si>
  <si>
    <t xml:space="preserve">PROYECTO "MANTENIMIENTO Y FORTALECIMIENTO DE LA RED DE SEMAFORIZACIÓN EN EL MUNICIPIO DE BARRANCABERMEJA"                                                                                                                                   </t>
  </si>
  <si>
    <t>PROYECTO: "MANTENIMIENTO Y FORTALECIMIENTO DE LA RED DE SEMAFORIZACIÓN EN EL MUNICIPIO DE BARRANCABERMEJA"</t>
  </si>
  <si>
    <t>PROYECTO "MANTENIMIENTO Y FORTALECIMIENTO DE LA RED DE SEMAFORIZACIÓN EN EL MUNICIPIO DE BARRANCABERMEJA".</t>
  </si>
  <si>
    <t>PROYECTO "MANTENIMIENTO Y FORTALECIMIENTO DE LA RED DE SEMAFORIZACIÓN EN EL MUNICIPIO DE BARRANCABERMEJA"</t>
  </si>
  <si>
    <t>SUMINISTRO DE ELEMENTOS E INSUMOS PARA EL MANTENIMIENTO DE LA RED DE SEMAFOROS EN EL MUNICIPIO DE BARRANCABERMEJA.</t>
  </si>
  <si>
    <t>SUMINISTRO, INSTALACION, PROGRAMACION Y PUESTA EN SERVICO DE EQUIPOS DE CONTROL DE TRAFICO VIAL,  CON CAPACIDAD DE DIECISEIS (16) GRUPOS VEHICULARES Y/O PEATONALES.</t>
  </si>
  <si>
    <t>COMPRA DE EQUIPOS DE CONTROL DE TRAFICO VIAL,  CON CAPACIDAD DE DIECISEIS (16) GRUPOS VEHICULARES Y/O PEATONALES (INCLUYE INSTALACION, PROGRAMACION Y PUESTA EN SERVICO DE EQUIPOS).</t>
  </si>
  <si>
    <t>ANEXO PRESUPUESTO - A.I.U.</t>
  </si>
  <si>
    <t>DIRECTOR DE OBRA (50%)</t>
  </si>
  <si>
    <t>INGENIERO RESIDENTE (100%)</t>
  </si>
  <si>
    <t xml:space="preserve">INSPECTOR HSEQ </t>
  </si>
  <si>
    <t>AIU</t>
  </si>
  <si>
    <t>A.I.U. 35%</t>
  </si>
  <si>
    <t>ALBERTO RAFAEL COTES ACOSTA</t>
  </si>
  <si>
    <t>Director de Tránsito y Transporte de Barrancabermeja</t>
  </si>
  <si>
    <t>ENERO DE 2017</t>
  </si>
  <si>
    <t>ALBERTO RAFAEL COTES ACOSTA. DIRECTOR ITTB</t>
  </si>
  <si>
    <t>VALOR TOTAL POR VIGENCIA 2017</t>
  </si>
  <si>
    <t>CRONOGRAMA FÍSICO-FINANCIERO AÑO 2017</t>
  </si>
  <si>
    <t xml:space="preserve">OTROS GASTOS GENERALES </t>
  </si>
  <si>
    <t>MANO DE NO OBRA CALIFICADA</t>
  </si>
  <si>
    <t xml:space="preserve">PRESUPUESTO EJECUTADO 2016 </t>
  </si>
  <si>
    <t>PRESUPUESTO EJECUTADO 2016</t>
  </si>
  <si>
    <t>PRESUPUESTO PROGRAMADO 2016</t>
  </si>
  <si>
    <t>VALOR EJECUTADO 2016</t>
  </si>
  <si>
    <t>VALOR PROGRAMADO 2016</t>
  </si>
  <si>
    <t>PRESUPUESTO DETALLADO 2016 - 2019</t>
  </si>
  <si>
    <t>PRESUPUESTO DETALLADO 2017</t>
  </si>
  <si>
    <t>PRESUPUESTO 2017</t>
  </si>
  <si>
    <t>Prestación de Servicios como apoyo a la División Técnica de la ITTB en el seguimiento y revisión del correcto funcionamiento de la red de semáforos del Municipio de Barrancabermeja.</t>
  </si>
  <si>
    <t>OTROS GASTOS GENERALES</t>
  </si>
  <si>
    <t>MANO DE OBRA NO CALIFICADA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</si>
</sst>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40A]\ #,##0"/>
    <numFmt numFmtId="167" formatCode="#,##0\ _€"/>
    <numFmt numFmtId="168" formatCode="0.0"/>
    <numFmt numFmtId="169" formatCode="0.000"/>
    <numFmt numFmtId="170" formatCode="&quot;$&quot;\ #,##0"/>
    <numFmt numFmtId="171" formatCode="#,##0&quot; $&quot;;[Red]\-#,##0&quot; $&quot;"/>
    <numFmt numFmtId="172" formatCode="0.0000"/>
    <numFmt numFmtId="173" formatCode="[$$-2C0A]#,##0"/>
    <numFmt numFmtId="174" formatCode="_-* #,##0.00\ _P_t_s_-;\-* #,##0.00\ _P_t_s_-;_-* &quot;-&quot;\ _P_t_s_-;_-@_-"/>
    <numFmt numFmtId="175" formatCode="_-* #,##0.000000000\ _P_t_s_-;\-* #,##0.000000000\ _P_t_s_-;_-* &quot;-&quot;\ _P_t_s_-;_-@_-"/>
    <numFmt numFmtId="176" formatCode="[$$-2C0A]\ #,##0.00"/>
    <numFmt numFmtId="177" formatCode="0.000%"/>
    <numFmt numFmtId="178" formatCode="[$$-240A]\ #,##0.00"/>
    <numFmt numFmtId="179" formatCode="&quot;$&quot;#,##0;[Red]&quot;$&quot;#,##0"/>
    <numFmt numFmtId="180" formatCode="_-* #,##0\ _€_-;\-* #,##0\ _€_-;_-* &quot;-&quot;??\ _€_-;_-@_-"/>
    <numFmt numFmtId="181" formatCode="_-&quot;$&quot;* #,##0_-;\-&quot;$&quot;* #,##0_-;_-&quot;$&quot;* &quot;-&quot;_-;_-@_-"/>
    <numFmt numFmtId="182" formatCode="[$$-240A]\ #,##0.00_-"/>
    <numFmt numFmtId="183" formatCode="[$$-240A]\ #,##0.00000_-"/>
    <numFmt numFmtId="184" formatCode="_-[$$-409]* #,##0.00_ ;_-[$$-409]* \-#,##0.00\ ;_-[$$-409]* &quot;-&quot;??_ ;_-@_ "/>
    <numFmt numFmtId="185" formatCode="&quot;$&quot;#,##0.00;[Red]\-&quot;$&quot;#,##0.00"/>
    <numFmt numFmtId="186" formatCode="[$$-240A]#,##0.00"/>
    <numFmt numFmtId="187" formatCode="_(&quot;$&quot;\ * #,##0_);_(&quot;$&quot;\ * \(#,##0\);_(&quot;$&quot;\ * &quot;-&quot;??_);_(@_)"/>
    <numFmt numFmtId="188" formatCode="0.0%"/>
  </numFmts>
  <fonts count="7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Garamond"/>
      <family val="1"/>
    </font>
    <font>
      <b/>
      <sz val="11"/>
      <name val="Garamond"/>
      <family val="1"/>
    </font>
    <font>
      <sz val="14"/>
      <name val="Arial"/>
      <family val="2"/>
    </font>
    <font>
      <b/>
      <sz val="16"/>
      <name val="Garamond"/>
      <family val="1"/>
    </font>
    <font>
      <b/>
      <sz val="8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1A1A1A"/>
      <name val="Arial"/>
      <family val="2"/>
    </font>
    <font>
      <sz val="8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1A1A1A"/>
      <name val="Arial"/>
      <family val="2"/>
    </font>
    <font>
      <b/>
      <sz val="15"/>
      <color theme="1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i/>
      <shadow/>
      <u/>
      <sz val="14"/>
      <color indexed="18"/>
      <name val="Monotype Corsiva"/>
      <family val="4"/>
    </font>
    <font>
      <sz val="6"/>
      <color indexed="8"/>
      <name val="Bookman Old Style"/>
      <family val="1"/>
    </font>
    <font>
      <sz val="10"/>
      <color rgb="FFFF0000"/>
      <name val="Arial"/>
      <family val="2"/>
    </font>
    <font>
      <b/>
      <sz val="16"/>
      <color indexed="10"/>
      <name val="Arial"/>
      <family val="2"/>
    </font>
    <font>
      <b/>
      <sz val="10"/>
      <color indexed="58"/>
      <name val="Arial"/>
      <family val="2"/>
    </font>
    <font>
      <sz val="8"/>
      <color indexed="62"/>
      <name val="Arial"/>
      <family val="2"/>
    </font>
    <font>
      <b/>
      <sz val="14"/>
      <name val="Arial"/>
      <family val="2"/>
    </font>
    <font>
      <b/>
      <sz val="10"/>
      <color indexed="56"/>
      <name val="Arial"/>
      <family val="2"/>
    </font>
    <font>
      <b/>
      <sz val="9"/>
      <color indexed="5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Times New Roman"/>
      <family val="1"/>
    </font>
    <font>
      <sz val="7"/>
      <color indexed="18"/>
      <name val="Arial"/>
      <family val="2"/>
    </font>
    <font>
      <b/>
      <sz val="8"/>
      <color indexed="18"/>
      <name val="Arial"/>
      <family val="2"/>
    </font>
    <font>
      <u/>
      <sz val="10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0F44A"/>
        <bgColor indexed="64"/>
      </patternFill>
    </fill>
    <fill>
      <patternFill patternType="solid">
        <fgColor rgb="FFE38DB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71" fontId="3" fillId="0" borderId="0" applyFill="0" applyAlignment="0" applyProtection="0"/>
    <xf numFmtId="43" fontId="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1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19" fillId="0" borderId="0"/>
    <xf numFmtId="0" fontId="3" fillId="0" borderId="0"/>
    <xf numFmtId="0" fontId="22" fillId="0" borderId="0"/>
    <xf numFmtId="9" fontId="3" fillId="0" borderId="0" applyFill="0" applyAlignment="0" applyProtection="0"/>
    <xf numFmtId="0" fontId="3" fillId="0" borderId="0">
      <alignment vertical="top"/>
    </xf>
    <xf numFmtId="41" fontId="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ill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</cellStyleXfs>
  <cellXfs count="1022">
    <xf numFmtId="0" fontId="0" fillId="0" borderId="0" xfId="0"/>
    <xf numFmtId="0" fontId="25" fillId="0" borderId="0" xfId="0" applyFont="1" applyAlignment="1">
      <alignment vertical="center" wrapText="1"/>
    </xf>
    <xf numFmtId="0" fontId="25" fillId="0" borderId="0" xfId="0" applyNumberFormat="1" applyFont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/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3" fillId="0" borderId="0" xfId="5"/>
    <xf numFmtId="0" fontId="3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166" fontId="29" fillId="0" borderId="2" xfId="0" applyNumberFormat="1" applyFont="1" applyBorder="1" applyAlignment="1">
      <alignment horizontal="center" vertical="center"/>
    </xf>
    <xf numFmtId="166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5" borderId="18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center" vertical="center"/>
    </xf>
    <xf numFmtId="166" fontId="35" fillId="0" borderId="0" xfId="0" applyNumberFormat="1" applyFont="1" applyAlignment="1">
      <alignment vertical="center" wrapText="1"/>
    </xf>
    <xf numFmtId="166" fontId="13" fillId="0" borderId="0" xfId="0" applyNumberFormat="1" applyFont="1" applyAlignment="1">
      <alignment vertical="center" wrapText="1"/>
    </xf>
    <xf numFmtId="166" fontId="36" fillId="4" borderId="0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/>
    </xf>
    <xf numFmtId="166" fontId="30" fillId="0" borderId="0" xfId="0" applyNumberFormat="1" applyFont="1" applyAlignment="1">
      <alignment horizontal="left" vertical="center"/>
    </xf>
    <xf numFmtId="166" fontId="30" fillId="0" borderId="32" xfId="0" applyNumberFormat="1" applyFont="1" applyFill="1" applyBorder="1" applyAlignment="1">
      <alignment horizontal="center" vertical="center"/>
    </xf>
    <xf numFmtId="0" fontId="14" fillId="0" borderId="0" xfId="11" applyFont="1" applyBorder="1" applyAlignment="1">
      <alignment horizontal="center"/>
    </xf>
    <xf numFmtId="0" fontId="3" fillId="0" borderId="0" xfId="11">
      <alignment vertical="top"/>
    </xf>
    <xf numFmtId="0" fontId="3" fillId="0" borderId="0" xfId="11" applyAlignment="1">
      <alignment horizontal="center"/>
    </xf>
    <xf numFmtId="2" fontId="15" fillId="0" borderId="0" xfId="11" applyNumberFormat="1" applyFont="1" applyBorder="1" applyAlignment="1">
      <alignment horizontal="center"/>
    </xf>
    <xf numFmtId="0" fontId="11" fillId="0" borderId="0" xfId="11" applyFont="1" applyBorder="1" applyAlignment="1">
      <alignment horizontal="center" vertical="top"/>
    </xf>
    <xf numFmtId="169" fontId="3" fillId="0" borderId="0" xfId="11" applyNumberFormat="1" applyAlignment="1">
      <alignment horizontal="center" vertical="top"/>
    </xf>
    <xf numFmtId="10" fontId="3" fillId="0" borderId="0" xfId="11" applyNumberFormat="1" applyAlignment="1">
      <alignment horizontal="center" vertical="top"/>
    </xf>
    <xf numFmtId="173" fontId="3" fillId="0" borderId="0" xfId="11" applyNumberFormat="1" applyAlignment="1">
      <alignment horizontal="center"/>
    </xf>
    <xf numFmtId="0" fontId="11" fillId="7" borderId="63" xfId="11" applyFont="1" applyFill="1" applyBorder="1" applyAlignment="1">
      <alignment horizontal="center" vertical="top"/>
    </xf>
    <xf numFmtId="0" fontId="11" fillId="7" borderId="10" xfId="11" applyFont="1" applyFill="1" applyBorder="1">
      <alignment vertical="top"/>
    </xf>
    <xf numFmtId="173" fontId="11" fillId="7" borderId="10" xfId="11" applyNumberFormat="1" applyFont="1" applyFill="1" applyBorder="1">
      <alignment vertical="top"/>
    </xf>
    <xf numFmtId="10" fontId="11" fillId="7" borderId="10" xfId="11" applyNumberFormat="1" applyFont="1" applyFill="1" applyBorder="1">
      <alignment vertical="top"/>
    </xf>
    <xf numFmtId="173" fontId="11" fillId="7" borderId="11" xfId="11" applyNumberFormat="1" applyFont="1" applyFill="1" applyBorder="1">
      <alignment vertical="top"/>
    </xf>
    <xf numFmtId="169" fontId="3" fillId="7" borderId="12" xfId="11" applyNumberFormat="1" applyFont="1" applyFill="1" applyBorder="1" applyAlignment="1">
      <alignment horizontal="center" vertical="top"/>
    </xf>
    <xf numFmtId="10" fontId="3" fillId="7" borderId="13" xfId="11" applyNumberFormat="1" applyFont="1" applyFill="1" applyBorder="1" applyAlignment="1">
      <alignment horizontal="center" vertical="top"/>
    </xf>
    <xf numFmtId="10" fontId="3" fillId="0" borderId="0" xfId="11" applyNumberFormat="1">
      <alignment vertical="top"/>
    </xf>
    <xf numFmtId="0" fontId="11" fillId="0" borderId="61" xfId="11" applyFont="1" applyBorder="1" applyAlignment="1">
      <alignment horizontal="center" vertical="top"/>
    </xf>
    <xf numFmtId="0" fontId="11" fillId="0" borderId="2" xfId="11" applyFont="1" applyBorder="1">
      <alignment vertical="top"/>
    </xf>
    <xf numFmtId="173" fontId="11" fillId="3" borderId="2" xfId="11" applyNumberFormat="1" applyFont="1" applyFill="1" applyBorder="1">
      <alignment vertical="top"/>
    </xf>
    <xf numFmtId="10" fontId="11" fillId="0" borderId="2" xfId="11" applyNumberFormat="1" applyFont="1" applyBorder="1">
      <alignment vertical="top"/>
    </xf>
    <xf numFmtId="173" fontId="11" fillId="0" borderId="14" xfId="11" applyNumberFormat="1" applyFont="1" applyBorder="1">
      <alignment vertical="top"/>
    </xf>
    <xf numFmtId="173" fontId="11" fillId="4" borderId="2" xfId="11" applyNumberFormat="1" applyFont="1" applyFill="1" applyBorder="1">
      <alignment vertical="top"/>
    </xf>
    <xf numFmtId="169" fontId="3" fillId="0" borderId="14" xfId="11" applyNumberFormat="1" applyFont="1" applyBorder="1" applyAlignment="1">
      <alignment horizontal="center" vertical="top"/>
    </xf>
    <xf numFmtId="10" fontId="3" fillId="0" borderId="15" xfId="11" applyNumberFormat="1" applyFont="1" applyBorder="1" applyAlignment="1">
      <alignment horizontal="center" vertical="top"/>
    </xf>
    <xf numFmtId="0" fontId="11" fillId="7" borderId="61" xfId="11" applyFont="1" applyFill="1" applyBorder="1" applyAlignment="1">
      <alignment horizontal="center" vertical="top"/>
    </xf>
    <xf numFmtId="0" fontId="11" fillId="7" borderId="2" xfId="11" applyFont="1" applyFill="1" applyBorder="1">
      <alignment vertical="top"/>
    </xf>
    <xf numFmtId="173" fontId="11" fillId="7" borderId="2" xfId="11" applyNumberFormat="1" applyFont="1" applyFill="1" applyBorder="1">
      <alignment vertical="top"/>
    </xf>
    <xf numFmtId="10" fontId="11" fillId="7" borderId="2" xfId="11" applyNumberFormat="1" applyFont="1" applyFill="1" applyBorder="1">
      <alignment vertical="top"/>
    </xf>
    <xf numFmtId="169" fontId="3" fillId="7" borderId="14" xfId="11" applyNumberFormat="1" applyFont="1" applyFill="1" applyBorder="1" applyAlignment="1">
      <alignment horizontal="center" vertical="top"/>
    </xf>
    <xf numFmtId="10" fontId="3" fillId="7" borderId="15" xfId="11" applyNumberFormat="1" applyFont="1" applyFill="1" applyBorder="1" applyAlignment="1">
      <alignment horizontal="center" vertical="top"/>
    </xf>
    <xf numFmtId="173" fontId="11" fillId="4" borderId="16" xfId="11" applyNumberFormat="1" applyFont="1" applyFill="1" applyBorder="1">
      <alignment vertical="top"/>
    </xf>
    <xf numFmtId="0" fontId="3" fillId="0" borderId="17" xfId="11" applyBorder="1">
      <alignment vertical="top"/>
    </xf>
    <xf numFmtId="0" fontId="3" fillId="0" borderId="18" xfId="11" applyBorder="1" applyAlignment="1">
      <alignment horizontal="center"/>
    </xf>
    <xf numFmtId="0" fontId="3" fillId="0" borderId="18" xfId="11" applyBorder="1">
      <alignment vertical="top"/>
    </xf>
    <xf numFmtId="173" fontId="3" fillId="0" borderId="19" xfId="11" applyNumberFormat="1" applyBorder="1" applyAlignment="1">
      <alignment horizontal="center"/>
    </xf>
    <xf numFmtId="0" fontId="11" fillId="0" borderId="14" xfId="11" applyFont="1" applyBorder="1">
      <alignment vertical="top"/>
    </xf>
    <xf numFmtId="169" fontId="3" fillId="0" borderId="14" xfId="11" applyNumberFormat="1" applyBorder="1" applyAlignment="1">
      <alignment horizontal="center" vertical="top"/>
    </xf>
    <xf numFmtId="10" fontId="3" fillId="0" borderId="15" xfId="11" applyNumberFormat="1" applyBorder="1" applyAlignment="1">
      <alignment horizontal="center" vertical="top"/>
    </xf>
    <xf numFmtId="0" fontId="3" fillId="0" borderId="20" xfId="11" applyBorder="1">
      <alignment vertical="top"/>
    </xf>
    <xf numFmtId="0" fontId="3" fillId="0" borderId="2" xfId="11" applyBorder="1">
      <alignment vertical="top"/>
    </xf>
    <xf numFmtId="173" fontId="3" fillId="0" borderId="21" xfId="11" applyNumberFormat="1" applyBorder="1" applyAlignment="1">
      <alignment horizontal="center"/>
    </xf>
    <xf numFmtId="0" fontId="11" fillId="0" borderId="74" xfId="11" applyFont="1" applyBorder="1" applyAlignment="1">
      <alignment horizontal="center" vertical="top"/>
    </xf>
    <xf numFmtId="0" fontId="11" fillId="0" borderId="22" xfId="11" applyFont="1" applyBorder="1">
      <alignment vertical="top"/>
    </xf>
    <xf numFmtId="173" fontId="11" fillId="3" borderId="22" xfId="11" applyNumberFormat="1" applyFont="1" applyFill="1" applyBorder="1">
      <alignment vertical="top"/>
    </xf>
    <xf numFmtId="10" fontId="11" fillId="0" borderId="22" xfId="11" applyNumberFormat="1" applyFont="1" applyBorder="1">
      <alignment vertical="top"/>
    </xf>
    <xf numFmtId="173" fontId="11" fillId="0" borderId="23" xfId="11" applyNumberFormat="1" applyFont="1" applyBorder="1">
      <alignment vertical="top"/>
    </xf>
    <xf numFmtId="0" fontId="3" fillId="0" borderId="24" xfId="11" applyBorder="1">
      <alignment vertical="top"/>
    </xf>
    <xf numFmtId="0" fontId="3" fillId="0" borderId="25" xfId="11" applyBorder="1" applyAlignment="1">
      <alignment horizontal="center"/>
    </xf>
    <xf numFmtId="0" fontId="3" fillId="0" borderId="25" xfId="11" applyBorder="1">
      <alignment vertical="top"/>
    </xf>
    <xf numFmtId="173" fontId="3" fillId="0" borderId="26" xfId="11" applyNumberFormat="1" applyBorder="1" applyAlignment="1">
      <alignment horizontal="center"/>
    </xf>
    <xf numFmtId="0" fontId="11" fillId="0" borderId="62" xfId="11" applyFont="1" applyBorder="1" applyAlignment="1">
      <alignment horizontal="center" vertical="top"/>
    </xf>
    <xf numFmtId="0" fontId="11" fillId="0" borderId="27" xfId="11" applyFont="1" applyBorder="1">
      <alignment vertical="top"/>
    </xf>
    <xf numFmtId="173" fontId="11" fillId="3" borderId="27" xfId="11" applyNumberFormat="1" applyFont="1" applyFill="1" applyBorder="1">
      <alignment vertical="top"/>
    </xf>
    <xf numFmtId="10" fontId="11" fillId="0" borderId="27" xfId="11" applyNumberFormat="1" applyFont="1" applyBorder="1">
      <alignment vertical="top"/>
    </xf>
    <xf numFmtId="173" fontId="11" fillId="0" borderId="28" xfId="11" applyNumberFormat="1" applyFont="1" applyBorder="1">
      <alignment vertical="top"/>
    </xf>
    <xf numFmtId="169" fontId="3" fillId="0" borderId="28" xfId="11" applyNumberFormat="1" applyBorder="1" applyAlignment="1">
      <alignment horizontal="center" vertical="top"/>
    </xf>
    <xf numFmtId="10" fontId="3" fillId="0" borderId="29" xfId="11" applyNumberFormat="1" applyBorder="1" applyAlignment="1">
      <alignment horizontal="center" vertical="top"/>
    </xf>
    <xf numFmtId="0" fontId="3" fillId="0" borderId="0" xfId="11" applyBorder="1">
      <alignment vertical="top"/>
    </xf>
    <xf numFmtId="0" fontId="3" fillId="0" borderId="0" xfId="11" applyBorder="1" applyAlignment="1">
      <alignment horizontal="center"/>
    </xf>
    <xf numFmtId="173" fontId="3" fillId="0" borderId="0" xfId="11" applyNumberFormat="1" applyBorder="1" applyAlignment="1">
      <alignment horizontal="center"/>
    </xf>
    <xf numFmtId="0" fontId="11" fillId="0" borderId="0" xfId="11" applyFont="1" applyBorder="1">
      <alignment vertical="top"/>
    </xf>
    <xf numFmtId="173" fontId="11" fillId="4" borderId="0" xfId="11" applyNumberFormat="1" applyFont="1" applyFill="1" applyBorder="1">
      <alignment vertical="top"/>
    </xf>
    <xf numFmtId="10" fontId="11" fillId="0" borderId="0" xfId="11" applyNumberFormat="1" applyFont="1" applyBorder="1">
      <alignment vertical="top"/>
    </xf>
    <xf numFmtId="173" fontId="11" fillId="0" borderId="0" xfId="11" applyNumberFormat="1" applyFont="1" applyBorder="1">
      <alignment vertical="top"/>
    </xf>
    <xf numFmtId="169" fontId="3" fillId="0" borderId="0" xfId="11" applyNumberFormat="1" applyBorder="1" applyAlignment="1">
      <alignment horizontal="center" vertical="top"/>
    </xf>
    <xf numFmtId="10" fontId="3" fillId="0" borderId="0" xfId="11" applyNumberFormat="1" applyBorder="1" applyAlignment="1">
      <alignment horizontal="center" vertical="top"/>
    </xf>
    <xf numFmtId="0" fontId="11" fillId="0" borderId="0" xfId="11" applyFont="1" applyAlignment="1">
      <alignment horizontal="center" vertical="top"/>
    </xf>
    <xf numFmtId="0" fontId="11" fillId="0" borderId="0" xfId="11" applyFont="1">
      <alignment vertical="top"/>
    </xf>
    <xf numFmtId="173" fontId="11" fillId="0" borderId="0" xfId="11" applyNumberFormat="1" applyFont="1">
      <alignment vertical="top"/>
    </xf>
    <xf numFmtId="2" fontId="11" fillId="0" borderId="0" xfId="11" applyNumberFormat="1" applyFont="1" applyAlignment="1">
      <alignment horizontal="left"/>
    </xf>
    <xf numFmtId="169" fontId="3" fillId="0" borderId="0" xfId="11" applyNumberFormat="1" applyFont="1" applyAlignment="1">
      <alignment horizontal="center"/>
    </xf>
    <xf numFmtId="10" fontId="3" fillId="0" borderId="0" xfId="11" applyNumberFormat="1" applyFont="1" applyAlignment="1">
      <alignment horizontal="center"/>
    </xf>
    <xf numFmtId="173" fontId="4" fillId="0" borderId="30" xfId="11" applyNumberFormat="1" applyFont="1" applyBorder="1" applyAlignment="1" applyProtection="1">
      <alignment horizontal="center"/>
    </xf>
    <xf numFmtId="4" fontId="11" fillId="0" borderId="13" xfId="11" applyNumberFormat="1" applyFont="1" applyBorder="1" applyAlignment="1" applyProtection="1">
      <alignment horizontal="center"/>
    </xf>
    <xf numFmtId="4" fontId="11" fillId="0" borderId="15" xfId="11" applyNumberFormat="1" applyFont="1" applyBorder="1" applyAlignment="1" applyProtection="1">
      <alignment horizontal="center"/>
    </xf>
    <xf numFmtId="0" fontId="11" fillId="0" borderId="0" xfId="11" applyFont="1" applyAlignment="1"/>
    <xf numFmtId="169" fontId="3" fillId="0" borderId="0" xfId="11" applyNumberFormat="1" applyAlignment="1">
      <alignment horizontal="center"/>
    </xf>
    <xf numFmtId="10" fontId="3" fillId="0" borderId="0" xfId="11" applyNumberFormat="1" applyAlignment="1">
      <alignment horizontal="center"/>
    </xf>
    <xf numFmtId="4" fontId="11" fillId="0" borderId="29" xfId="11" applyNumberFormat="1" applyFont="1" applyBorder="1" applyAlignment="1" applyProtection="1">
      <alignment horizontal="center"/>
    </xf>
    <xf numFmtId="10" fontId="11" fillId="0" borderId="15" xfId="11" applyNumberFormat="1" applyFont="1" applyBorder="1" applyAlignment="1">
      <alignment horizontal="center"/>
    </xf>
    <xf numFmtId="10" fontId="11" fillId="0" borderId="29" xfId="11" applyNumberFormat="1" applyFont="1" applyBorder="1" applyAlignment="1">
      <alignment horizontal="center"/>
    </xf>
    <xf numFmtId="10" fontId="11" fillId="0" borderId="0" xfId="11" applyNumberFormat="1" applyFont="1" applyBorder="1" applyAlignment="1">
      <alignment horizontal="center"/>
    </xf>
    <xf numFmtId="0" fontId="5" fillId="4" borderId="0" xfId="11" applyFont="1" applyFill="1" applyBorder="1" applyAlignment="1">
      <alignment horizontal="center" vertical="top"/>
    </xf>
    <xf numFmtId="169" fontId="3" fillId="4" borderId="0" xfId="11" applyNumberFormat="1" applyFill="1" applyAlignment="1">
      <alignment horizontal="center" vertical="top"/>
    </xf>
    <xf numFmtId="10" fontId="3" fillId="4" borderId="0" xfId="11" applyNumberFormat="1" applyFill="1" applyAlignment="1">
      <alignment horizontal="center" vertical="top"/>
    </xf>
    <xf numFmtId="173" fontId="3" fillId="0" borderId="15" xfId="11" applyNumberFormat="1" applyBorder="1" applyAlignment="1">
      <alignment horizontal="center"/>
    </xf>
    <xf numFmtId="173" fontId="3" fillId="4" borderId="0" xfId="11" applyNumberFormat="1" applyFill="1" applyBorder="1" applyAlignment="1">
      <alignment horizontal="center"/>
    </xf>
    <xf numFmtId="0" fontId="3" fillId="0" borderId="27" xfId="11" applyBorder="1">
      <alignment vertical="top"/>
    </xf>
    <xf numFmtId="173" fontId="3" fillId="0" borderId="29" xfId="11" applyNumberFormat="1" applyBorder="1" applyAlignment="1">
      <alignment horizontal="center"/>
    </xf>
    <xf numFmtId="0" fontId="8" fillId="0" borderId="2" xfId="11" applyFont="1" applyBorder="1">
      <alignment vertical="top"/>
    </xf>
    <xf numFmtId="0" fontId="8" fillId="0" borderId="2" xfId="11" applyFont="1" applyBorder="1" applyAlignment="1">
      <alignment horizontal="center"/>
    </xf>
    <xf numFmtId="0" fontId="3" fillId="0" borderId="2" xfId="11" applyFont="1" applyBorder="1" applyAlignment="1">
      <alignment horizontal="center"/>
    </xf>
    <xf numFmtId="173" fontId="3" fillId="0" borderId="2" xfId="12" applyNumberFormat="1" applyFont="1" applyBorder="1" applyAlignment="1">
      <alignment horizontal="center"/>
    </xf>
    <xf numFmtId="174" fontId="3" fillId="0" borderId="31" xfId="12" applyNumberFormat="1" applyFont="1" applyBorder="1" applyAlignment="1">
      <alignment horizontal="center"/>
    </xf>
    <xf numFmtId="173" fontId="3" fillId="0" borderId="2" xfId="11" applyNumberFormat="1" applyFont="1" applyBorder="1" applyAlignment="1">
      <alignment horizontal="center"/>
    </xf>
    <xf numFmtId="173" fontId="3" fillId="0" borderId="2" xfId="11" applyNumberFormat="1" applyBorder="1" applyAlignment="1">
      <alignment horizontal="center"/>
    </xf>
    <xf numFmtId="0" fontId="3" fillId="0" borderId="0" xfId="11" applyFont="1" applyBorder="1" applyAlignment="1">
      <alignment horizontal="center"/>
    </xf>
    <xf numFmtId="173" fontId="3" fillId="0" borderId="0" xfId="12" applyNumberFormat="1" applyFont="1" applyBorder="1" applyAlignment="1">
      <alignment horizontal="center"/>
    </xf>
    <xf numFmtId="175" fontId="8" fillId="0" borderId="0" xfId="11" applyNumberFormat="1" applyFont="1" applyAlignment="1">
      <alignment horizontal="center"/>
    </xf>
    <xf numFmtId="0" fontId="8" fillId="0" borderId="0" xfId="11" applyFont="1">
      <alignment vertical="top"/>
    </xf>
    <xf numFmtId="0" fontId="8" fillId="0" borderId="0" xfId="11" applyFont="1" applyAlignment="1">
      <alignment horizontal="center"/>
    </xf>
    <xf numFmtId="174" fontId="8" fillId="0" borderId="0" xfId="12" applyNumberFormat="1" applyFont="1"/>
    <xf numFmtId="174" fontId="8" fillId="0" borderId="0" xfId="12" applyNumberFormat="1" applyFont="1" applyAlignment="1">
      <alignment horizontal="center"/>
    </xf>
    <xf numFmtId="0" fontId="16" fillId="0" borderId="22" xfId="11" applyFont="1" applyBorder="1" applyAlignment="1">
      <alignment horizontal="center"/>
    </xf>
    <xf numFmtId="0" fontId="16" fillId="0" borderId="23" xfId="11" applyFont="1" applyBorder="1" applyAlignment="1">
      <alignment horizontal="center"/>
    </xf>
    <xf numFmtId="0" fontId="3" fillId="0" borderId="32" xfId="11" applyBorder="1" applyAlignment="1">
      <alignment horizontal="center"/>
    </xf>
    <xf numFmtId="0" fontId="3" fillId="0" borderId="6" xfId="11" applyBorder="1" applyAlignment="1">
      <alignment horizontal="center"/>
    </xf>
    <xf numFmtId="0" fontId="3" fillId="0" borderId="33" xfId="11" applyBorder="1" applyAlignment="1">
      <alignment horizontal="center"/>
    </xf>
    <xf numFmtId="49" fontId="0" fillId="0" borderId="27" xfId="12" applyNumberFormat="1" applyFont="1" applyBorder="1" applyAlignment="1">
      <alignment horizontal="center"/>
    </xf>
    <xf numFmtId="174" fontId="0" fillId="0" borderId="22" xfId="12" applyNumberFormat="1" applyFont="1" applyBorder="1" applyAlignment="1">
      <alignment horizontal="center"/>
    </xf>
    <xf numFmtId="174" fontId="0" fillId="0" borderId="1" xfId="12" applyNumberFormat="1" applyFont="1" applyBorder="1" applyAlignment="1">
      <alignment horizontal="center"/>
    </xf>
    <xf numFmtId="0" fontId="3" fillId="0" borderId="1" xfId="11" applyBorder="1" applyAlignment="1">
      <alignment horizontal="center"/>
    </xf>
    <xf numFmtId="175" fontId="3" fillId="0" borderId="22" xfId="11" applyNumberFormat="1" applyBorder="1" applyAlignment="1">
      <alignment horizontal="center"/>
    </xf>
    <xf numFmtId="0" fontId="3" fillId="0" borderId="34" xfId="11" applyBorder="1">
      <alignment vertical="top"/>
    </xf>
    <xf numFmtId="0" fontId="3" fillId="0" borderId="35" xfId="11" applyBorder="1" applyAlignment="1">
      <alignment horizontal="center"/>
    </xf>
    <xf numFmtId="0" fontId="3" fillId="0" borderId="32" xfId="11" applyBorder="1">
      <alignment vertical="top"/>
    </xf>
    <xf numFmtId="173" fontId="0" fillId="0" borderId="35" xfId="12" applyNumberFormat="1" applyFont="1" applyBorder="1" applyAlignment="1">
      <alignment horizontal="center"/>
    </xf>
    <xf numFmtId="173" fontId="3" fillId="0" borderId="35" xfId="11" applyNumberFormat="1" applyBorder="1" applyAlignment="1">
      <alignment horizontal="center"/>
    </xf>
    <xf numFmtId="0" fontId="3" fillId="0" borderId="11" xfId="11" applyBorder="1" applyAlignment="1">
      <alignment horizontal="center"/>
    </xf>
    <xf numFmtId="0" fontId="3" fillId="0" borderId="36" xfId="11" applyBorder="1" applyAlignment="1">
      <alignment horizontal="center"/>
    </xf>
    <xf numFmtId="0" fontId="3" fillId="0" borderId="37" xfId="11" applyFont="1" applyBorder="1">
      <alignment vertical="top"/>
    </xf>
    <xf numFmtId="0" fontId="3" fillId="0" borderId="32" xfId="11" applyFont="1" applyBorder="1" applyAlignment="1">
      <alignment horizontal="center"/>
    </xf>
    <xf numFmtId="0" fontId="3" fillId="0" borderId="32" xfId="11" applyFont="1" applyBorder="1">
      <alignment vertical="top"/>
    </xf>
    <xf numFmtId="173" fontId="3" fillId="0" borderId="32" xfId="11" applyNumberFormat="1" applyBorder="1" applyAlignment="1">
      <alignment horizontal="center"/>
    </xf>
    <xf numFmtId="0" fontId="3" fillId="0" borderId="7" xfId="11" applyBorder="1" applyAlignment="1">
      <alignment horizontal="center"/>
    </xf>
    <xf numFmtId="0" fontId="3" fillId="0" borderId="37" xfId="11" applyBorder="1">
      <alignment vertical="top"/>
    </xf>
    <xf numFmtId="173" fontId="0" fillId="0" borderId="32" xfId="12" applyNumberFormat="1" applyFont="1" applyBorder="1" applyAlignment="1">
      <alignment horizontal="center"/>
    </xf>
    <xf numFmtId="174" fontId="0" fillId="0" borderId="32" xfId="12" applyNumberFormat="1" applyFont="1" applyBorder="1" applyAlignment="1">
      <alignment horizontal="center"/>
    </xf>
    <xf numFmtId="174" fontId="0" fillId="0" borderId="6" xfId="12" applyNumberFormat="1" applyFont="1" applyBorder="1" applyAlignment="1">
      <alignment horizontal="center"/>
    </xf>
    <xf numFmtId="174" fontId="0" fillId="0" borderId="7" xfId="12" applyNumberFormat="1" applyFont="1" applyBorder="1" applyAlignment="1">
      <alignment horizontal="center"/>
    </xf>
    <xf numFmtId="174" fontId="0" fillId="0" borderId="2" xfId="12" applyNumberFormat="1" applyFont="1" applyBorder="1" applyAlignment="1">
      <alignment horizontal="center"/>
    </xf>
    <xf numFmtId="175" fontId="3" fillId="0" borderId="2" xfId="11" applyNumberFormat="1" applyBorder="1" applyAlignment="1">
      <alignment horizontal="center"/>
    </xf>
    <xf numFmtId="175" fontId="3" fillId="0" borderId="14" xfId="11" applyNumberFormat="1" applyBorder="1" applyAlignment="1">
      <alignment horizontal="center"/>
    </xf>
    <xf numFmtId="173" fontId="3" fillId="0" borderId="32" xfId="12" applyNumberFormat="1" applyFont="1" applyBorder="1" applyAlignment="1">
      <alignment horizontal="center"/>
    </xf>
    <xf numFmtId="10" fontId="3" fillId="0" borderId="32" xfId="12" applyNumberFormat="1" applyFont="1" applyBorder="1" applyAlignment="1">
      <alignment horizontal="center"/>
    </xf>
    <xf numFmtId="10" fontId="3" fillId="0" borderId="6" xfId="12" applyNumberFormat="1" applyFont="1" applyBorder="1" applyAlignment="1">
      <alignment horizontal="center"/>
    </xf>
    <xf numFmtId="10" fontId="3" fillId="0" borderId="7" xfId="12" applyNumberFormat="1" applyFont="1" applyBorder="1" applyAlignment="1">
      <alignment horizontal="center"/>
    </xf>
    <xf numFmtId="0" fontId="8" fillId="0" borderId="37" xfId="11" applyFont="1" applyBorder="1">
      <alignment vertical="top"/>
    </xf>
    <xf numFmtId="0" fontId="8" fillId="0" borderId="32" xfId="11" applyFont="1" applyBorder="1" applyAlignment="1">
      <alignment horizontal="center"/>
    </xf>
    <xf numFmtId="0" fontId="8" fillId="0" borderId="32" xfId="11" applyFont="1" applyBorder="1">
      <alignment vertical="top"/>
    </xf>
    <xf numFmtId="10" fontId="0" fillId="0" borderId="32" xfId="12" applyNumberFormat="1" applyFont="1" applyBorder="1" applyAlignment="1">
      <alignment horizontal="center"/>
    </xf>
    <xf numFmtId="10" fontId="0" fillId="0" borderId="6" xfId="12" applyNumberFormat="1" applyFont="1" applyBorder="1" applyAlignment="1">
      <alignment horizontal="center"/>
    </xf>
    <xf numFmtId="10" fontId="0" fillId="0" borderId="7" xfId="12" applyNumberFormat="1" applyFont="1" applyBorder="1" applyAlignment="1">
      <alignment horizontal="center"/>
    </xf>
    <xf numFmtId="10" fontId="3" fillId="0" borderId="32" xfId="11" applyNumberFormat="1" applyBorder="1">
      <alignment vertical="top"/>
    </xf>
    <xf numFmtId="0" fontId="3" fillId="0" borderId="32" xfId="11" applyBorder="1" applyAlignment="1">
      <alignment horizontal="center" vertical="top"/>
    </xf>
    <xf numFmtId="13" fontId="3" fillId="0" borderId="32" xfId="11" applyNumberFormat="1" applyBorder="1">
      <alignment vertical="top"/>
    </xf>
    <xf numFmtId="0" fontId="8" fillId="0" borderId="38" xfId="11" applyFont="1" applyBorder="1">
      <alignment vertical="top"/>
    </xf>
    <xf numFmtId="0" fontId="8" fillId="0" borderId="33" xfId="11" applyFont="1" applyBorder="1" applyAlignment="1">
      <alignment horizontal="center"/>
    </xf>
    <xf numFmtId="0" fontId="8" fillId="0" borderId="33" xfId="11" applyFont="1" applyBorder="1">
      <alignment vertical="top"/>
    </xf>
    <xf numFmtId="173" fontId="8" fillId="0" borderId="33" xfId="12" applyNumberFormat="1" applyFont="1" applyBorder="1" applyAlignment="1">
      <alignment horizontal="center"/>
    </xf>
    <xf numFmtId="10" fontId="8" fillId="0" borderId="33" xfId="12" applyNumberFormat="1" applyFont="1" applyBorder="1" applyAlignment="1">
      <alignment horizontal="center"/>
    </xf>
    <xf numFmtId="10" fontId="8" fillId="0" borderId="8" xfId="12" applyNumberFormat="1" applyFont="1" applyBorder="1" applyAlignment="1">
      <alignment horizontal="center"/>
    </xf>
    <xf numFmtId="10" fontId="8" fillId="0" borderId="9" xfId="12" applyNumberFormat="1" applyFont="1" applyBorder="1" applyAlignment="1">
      <alignment horizontal="center"/>
    </xf>
    <xf numFmtId="1" fontId="0" fillId="0" borderId="0" xfId="12" applyNumberFormat="1" applyFont="1" applyAlignment="1">
      <alignment horizontal="center"/>
    </xf>
    <xf numFmtId="174" fontId="0" fillId="0" borderId="0" xfId="12" applyNumberFormat="1" applyFont="1" applyAlignment="1">
      <alignment horizontal="center"/>
    </xf>
    <xf numFmtId="3" fontId="0" fillId="0" borderId="0" xfId="12" applyNumberFormat="1" applyFont="1" applyAlignment="1">
      <alignment horizontal="center"/>
    </xf>
    <xf numFmtId="174" fontId="0" fillId="0" borderId="0" xfId="12" applyNumberFormat="1" applyFont="1"/>
    <xf numFmtId="175" fontId="3" fillId="0" borderId="0" xfId="11" applyNumberFormat="1" applyAlignment="1">
      <alignment horizontal="center"/>
    </xf>
    <xf numFmtId="173" fontId="3" fillId="0" borderId="0" xfId="11" applyNumberFormat="1">
      <alignment vertical="top"/>
    </xf>
    <xf numFmtId="3" fontId="8" fillId="0" borderId="2" xfId="12" applyNumberFormat="1" applyFont="1" applyBorder="1" applyAlignment="1">
      <alignment horizontal="center"/>
    </xf>
    <xf numFmtId="174" fontId="8" fillId="0" borderId="32" xfId="12" applyNumberFormat="1" applyFont="1" applyBorder="1" applyAlignment="1">
      <alignment horizontal="center"/>
    </xf>
    <xf numFmtId="173" fontId="8" fillId="0" borderId="2" xfId="12" applyNumberFormat="1" applyFont="1" applyBorder="1" applyAlignment="1">
      <alignment horizontal="center"/>
    </xf>
    <xf numFmtId="176" fontId="8" fillId="0" borderId="2" xfId="12" applyNumberFormat="1" applyFont="1" applyBorder="1" applyAlignment="1">
      <alignment horizontal="center"/>
    </xf>
    <xf numFmtId="176" fontId="3" fillId="0" borderId="0" xfId="11" applyNumberFormat="1" applyAlignment="1">
      <alignment horizontal="center"/>
    </xf>
    <xf numFmtId="176" fontId="3" fillId="0" borderId="0" xfId="11" applyNumberFormat="1">
      <alignment vertical="top"/>
    </xf>
    <xf numFmtId="0" fontId="8" fillId="9" borderId="8" xfId="11" applyFont="1" applyFill="1" applyBorder="1" applyAlignment="1">
      <alignment horizontal="center" vertical="center" wrapText="1"/>
    </xf>
    <xf numFmtId="169" fontId="8" fillId="9" borderId="8" xfId="11" applyNumberFormat="1" applyFont="1" applyFill="1" applyBorder="1" applyAlignment="1">
      <alignment horizontal="center" vertical="top"/>
    </xf>
    <xf numFmtId="10" fontId="8" fillId="9" borderId="9" xfId="11" applyNumberFormat="1" applyFont="1" applyFill="1" applyBorder="1" applyAlignment="1">
      <alignment horizontal="center" vertical="top"/>
    </xf>
    <xf numFmtId="169" fontId="8" fillId="9" borderId="6" xfId="11" applyNumberFormat="1" applyFont="1" applyFill="1" applyBorder="1" applyAlignment="1">
      <alignment horizontal="center" vertical="top"/>
    </xf>
    <xf numFmtId="10" fontId="8" fillId="9" borderId="7" xfId="11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justify" vertical="center" wrapText="1"/>
    </xf>
    <xf numFmtId="0" fontId="41" fillId="0" borderId="0" xfId="0" applyFont="1" applyAlignment="1">
      <alignment vertical="center" wrapText="1"/>
    </xf>
    <xf numFmtId="0" fontId="41" fillId="0" borderId="0" xfId="0" applyNumberFormat="1" applyFont="1" applyAlignment="1">
      <alignment horizontal="center" vertical="center" wrapText="1"/>
    </xf>
    <xf numFmtId="166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66" fontId="42" fillId="0" borderId="0" xfId="0" applyNumberFormat="1" applyFont="1" applyAlignment="1">
      <alignment vertical="center" wrapText="1"/>
    </xf>
    <xf numFmtId="0" fontId="43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horizontal="center"/>
    </xf>
    <xf numFmtId="166" fontId="30" fillId="0" borderId="32" xfId="0" applyNumberFormat="1" applyFont="1" applyBorder="1" applyAlignment="1">
      <alignment horizontal="center" vertical="center"/>
    </xf>
    <xf numFmtId="166" fontId="29" fillId="10" borderId="2" xfId="0" applyNumberFormat="1" applyFont="1" applyFill="1" applyBorder="1" applyAlignment="1">
      <alignment horizontal="center" vertical="center" wrapText="1"/>
    </xf>
    <xf numFmtId="166" fontId="29" fillId="10" borderId="2" xfId="0" applyNumberFormat="1" applyFont="1" applyFill="1" applyBorder="1" applyAlignment="1">
      <alignment horizontal="center" vertical="center"/>
    </xf>
    <xf numFmtId="166" fontId="28" fillId="1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66" fontId="27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5" fillId="0" borderId="0" xfId="5" applyFont="1" applyAlignment="1">
      <alignment horizontal="left" vertical="center" wrapText="1"/>
    </xf>
    <xf numFmtId="0" fontId="25" fillId="0" borderId="0" xfId="5" applyFont="1" applyAlignment="1">
      <alignment vertical="center" wrapText="1"/>
    </xf>
    <xf numFmtId="0" fontId="23" fillId="0" borderId="2" xfId="0" applyFont="1" applyFill="1" applyBorder="1" applyAlignment="1">
      <alignment horizontal="justify" vertical="center" wrapText="1"/>
    </xf>
    <xf numFmtId="0" fontId="30" fillId="0" borderId="2" xfId="5" applyFont="1" applyFill="1" applyBorder="1" applyAlignment="1">
      <alignment horizontal="center" vertical="center"/>
    </xf>
    <xf numFmtId="179" fontId="13" fillId="0" borderId="2" xfId="0" applyNumberFormat="1" applyFont="1" applyFill="1" applyBorder="1" applyAlignment="1">
      <alignment horizontal="center" vertical="center"/>
    </xf>
    <xf numFmtId="166" fontId="30" fillId="0" borderId="2" xfId="5" applyNumberFormat="1" applyFont="1" applyFill="1" applyBorder="1" applyAlignment="1">
      <alignment horizontal="center" vertical="center"/>
    </xf>
    <xf numFmtId="3" fontId="13" fillId="0" borderId="2" xfId="5" applyNumberFormat="1" applyFont="1" applyFill="1" applyBorder="1" applyAlignment="1">
      <alignment horizontal="center" vertical="center"/>
    </xf>
    <xf numFmtId="166" fontId="33" fillId="10" borderId="2" xfId="5" applyNumberFormat="1" applyFont="1" applyFill="1" applyBorder="1" applyAlignment="1">
      <alignment horizontal="center" vertical="center"/>
    </xf>
    <xf numFmtId="0" fontId="25" fillId="0" borderId="0" xfId="5" applyFont="1" applyAlignment="1">
      <alignment vertical="center"/>
    </xf>
    <xf numFmtId="0" fontId="27" fillId="0" borderId="0" xfId="5" applyFont="1"/>
    <xf numFmtId="0" fontId="30" fillId="0" borderId="2" xfId="5" applyFont="1" applyBorder="1" applyAlignment="1">
      <alignment horizontal="center" vertical="center"/>
    </xf>
    <xf numFmtId="0" fontId="30" fillId="0" borderId="2" xfId="5" applyNumberFormat="1" applyFont="1" applyFill="1" applyBorder="1" applyAlignment="1">
      <alignment horizontal="center" vertical="center"/>
    </xf>
    <xf numFmtId="166" fontId="30" fillId="0" borderId="2" xfId="5" applyNumberFormat="1" applyFont="1" applyFill="1" applyBorder="1" applyAlignment="1">
      <alignment horizontal="center" vertical="center" wrapText="1"/>
    </xf>
    <xf numFmtId="0" fontId="29" fillId="5" borderId="2" xfId="5" applyFont="1" applyFill="1" applyBorder="1" applyAlignment="1">
      <alignment horizontal="center" vertical="center" wrapText="1"/>
    </xf>
    <xf numFmtId="0" fontId="29" fillId="5" borderId="2" xfId="5" applyNumberFormat="1" applyFont="1" applyFill="1" applyBorder="1" applyAlignment="1">
      <alignment horizontal="center" vertical="center"/>
    </xf>
    <xf numFmtId="166" fontId="29" fillId="5" borderId="2" xfId="5" applyNumberFormat="1" applyFont="1" applyFill="1" applyBorder="1" applyAlignment="1">
      <alignment horizontal="center" vertical="center" wrapText="1"/>
    </xf>
    <xf numFmtId="167" fontId="29" fillId="5" borderId="2" xfId="5" applyNumberFormat="1" applyFont="1" applyFill="1" applyBorder="1" applyAlignment="1">
      <alignment horizontal="center" vertical="center" wrapText="1"/>
    </xf>
    <xf numFmtId="166" fontId="29" fillId="5" borderId="2" xfId="0" applyNumberFormat="1" applyFont="1" applyFill="1" applyBorder="1" applyAlignment="1">
      <alignment horizontal="center" vertical="center" wrapText="1"/>
    </xf>
    <xf numFmtId="173" fontId="8" fillId="9" borderId="6" xfId="11" applyNumberFormat="1" applyFont="1" applyFill="1" applyBorder="1" applyAlignment="1">
      <alignment horizontal="center" vertical="center" wrapText="1"/>
    </xf>
    <xf numFmtId="0" fontId="3" fillId="0" borderId="2" xfId="11" applyBorder="1" applyAlignment="1">
      <alignment horizontal="center"/>
    </xf>
    <xf numFmtId="0" fontId="3" fillId="0" borderId="27" xfId="11" applyBorder="1" applyAlignment="1">
      <alignment horizontal="center"/>
    </xf>
    <xf numFmtId="0" fontId="13" fillId="0" borderId="2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170" fontId="13" fillId="0" borderId="2" xfId="0" applyNumberFormat="1" applyFont="1" applyFill="1" applyBorder="1" applyAlignment="1">
      <alignment horizontal="center" vertical="center"/>
    </xf>
    <xf numFmtId="170" fontId="12" fillId="0" borderId="2" xfId="0" applyNumberFormat="1" applyFont="1" applyFill="1" applyBorder="1" applyAlignment="1">
      <alignment horizontal="center" vertical="center"/>
    </xf>
    <xf numFmtId="170" fontId="4" fillId="11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23" fillId="0" borderId="2" xfId="0" applyFont="1" applyFill="1" applyBorder="1" applyAlignment="1">
      <alignment horizontal="center" vertical="center"/>
    </xf>
    <xf numFmtId="0" fontId="0" fillId="7" borderId="0" xfId="0" applyFill="1"/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/>
    </xf>
    <xf numFmtId="180" fontId="2" fillId="10" borderId="2" xfId="14" applyNumberFormat="1" applyFont="1" applyFill="1" applyBorder="1"/>
    <xf numFmtId="170" fontId="4" fillId="10" borderId="2" xfId="0" applyNumberFormat="1" applyFont="1" applyFill="1" applyBorder="1" applyAlignment="1">
      <alignment horizontal="center" vertical="center"/>
    </xf>
    <xf numFmtId="180" fontId="2" fillId="10" borderId="2" xfId="14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3" fillId="10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justify" vertical="center" wrapText="1"/>
    </xf>
    <xf numFmtId="0" fontId="13" fillId="10" borderId="2" xfId="0" applyFont="1" applyFill="1" applyBorder="1" applyAlignment="1">
      <alignment horizontal="center"/>
    </xf>
    <xf numFmtId="0" fontId="0" fillId="10" borderId="2" xfId="0" applyFont="1" applyFill="1" applyBorder="1"/>
    <xf numFmtId="0" fontId="4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3" fontId="0" fillId="0" borderId="0" xfId="0" applyNumberFormat="1"/>
    <xf numFmtId="172" fontId="0" fillId="0" borderId="0" xfId="0" applyNumberFormat="1"/>
    <xf numFmtId="0" fontId="0" fillId="0" borderId="0" xfId="0" applyBorder="1"/>
    <xf numFmtId="0" fontId="48" fillId="0" borderId="0" xfId="0" applyFont="1"/>
    <xf numFmtId="178" fontId="49" fillId="0" borderId="0" xfId="0" applyNumberFormat="1" applyFont="1" applyAlignment="1">
      <alignment horizontal="center"/>
    </xf>
    <xf numFmtId="0" fontId="12" fillId="15" borderId="2" xfId="0" applyFont="1" applyFill="1" applyBorder="1" applyAlignment="1">
      <alignment horizontal="center" vertical="center"/>
    </xf>
    <xf numFmtId="179" fontId="23" fillId="0" borderId="2" xfId="0" applyNumberFormat="1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179" fontId="13" fillId="0" borderId="2" xfId="0" applyNumberFormat="1" applyFont="1" applyFill="1" applyBorder="1" applyAlignment="1">
      <alignment horizontal="right" vertical="center"/>
    </xf>
    <xf numFmtId="181" fontId="13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0" fontId="13" fillId="0" borderId="2" xfId="0" applyFont="1" applyBorder="1" applyAlignment="1">
      <alignment horizontal="justify" vertical="center" wrapText="1"/>
    </xf>
    <xf numFmtId="0" fontId="13" fillId="0" borderId="31" xfId="0" applyFont="1" applyBorder="1" applyAlignment="1">
      <alignment horizontal="center" vertical="center"/>
    </xf>
    <xf numFmtId="0" fontId="30" fillId="10" borderId="14" xfId="0" applyFont="1" applyFill="1" applyBorder="1" applyAlignment="1">
      <alignment horizontal="center" vertical="center" wrapText="1"/>
    </xf>
    <xf numFmtId="0" fontId="30" fillId="10" borderId="39" xfId="0" applyFont="1" applyFill="1" applyBorder="1" applyAlignment="1">
      <alignment horizontal="center" vertical="center" wrapText="1"/>
    </xf>
    <xf numFmtId="166" fontId="28" fillId="10" borderId="2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4" fillId="0" borderId="75" xfId="0" applyFont="1" applyBorder="1" applyAlignment="1">
      <alignment horizontal="right"/>
    </xf>
    <xf numFmtId="0" fontId="54" fillId="0" borderId="76" xfId="0" applyFont="1" applyBorder="1" applyAlignment="1">
      <alignment horizontal="right"/>
    </xf>
    <xf numFmtId="0" fontId="13" fillId="0" borderId="77" xfId="0" applyFont="1" applyBorder="1" applyAlignment="1">
      <alignment horizontal="left"/>
    </xf>
    <xf numFmtId="0" fontId="54" fillId="0" borderId="66" xfId="0" applyFont="1" applyBorder="1" applyAlignment="1">
      <alignment horizontal="right"/>
    </xf>
    <xf numFmtId="0" fontId="23" fillId="0" borderId="39" xfId="0" applyFont="1" applyBorder="1"/>
    <xf numFmtId="0" fontId="55" fillId="0" borderId="39" xfId="0" applyFont="1" applyBorder="1"/>
    <xf numFmtId="0" fontId="54" fillId="0" borderId="39" xfId="0" applyFont="1" applyBorder="1" applyAlignment="1">
      <alignment horizontal="right"/>
    </xf>
    <xf numFmtId="0" fontId="23" fillId="0" borderId="39" xfId="0" applyFont="1" applyFill="1" applyBorder="1"/>
    <xf numFmtId="0" fontId="0" fillId="0" borderId="84" xfId="0" applyBorder="1"/>
    <xf numFmtId="0" fontId="54" fillId="0" borderId="80" xfId="0" applyFont="1" applyBorder="1" applyAlignment="1">
      <alignment horizontal="right"/>
    </xf>
    <xf numFmtId="0" fontId="23" fillId="0" borderId="81" xfId="0" applyFont="1" applyBorder="1"/>
    <xf numFmtId="0" fontId="54" fillId="0" borderId="81" xfId="0" applyFont="1" applyBorder="1" applyAlignment="1">
      <alignment horizontal="right"/>
    </xf>
    <xf numFmtId="0" fontId="0" fillId="0" borderId="82" xfId="0" applyBorder="1"/>
    <xf numFmtId="0" fontId="12" fillId="1" borderId="86" xfId="0" applyFont="1" applyFill="1" applyBorder="1" applyAlignment="1">
      <alignment horizontal="center"/>
    </xf>
    <xf numFmtId="0" fontId="2" fillId="1" borderId="86" xfId="0" applyFont="1" applyFill="1" applyBorder="1"/>
    <xf numFmtId="178" fontId="56" fillId="0" borderId="87" xfId="0" applyNumberFormat="1" applyFont="1" applyBorder="1" applyAlignment="1">
      <alignment horizontal="center"/>
    </xf>
    <xf numFmtId="0" fontId="2" fillId="1" borderId="88" xfId="0" applyFont="1" applyFill="1" applyBorder="1"/>
    <xf numFmtId="0" fontId="12" fillId="1" borderId="88" xfId="0" applyFont="1" applyFill="1" applyBorder="1" applyAlignment="1">
      <alignment horizontal="center"/>
    </xf>
    <xf numFmtId="0" fontId="2" fillId="1" borderId="87" xfId="0" applyFont="1" applyFill="1" applyBorder="1"/>
    <xf numFmtId="0" fontId="13" fillId="1" borderId="87" xfId="0" applyFont="1" applyFill="1" applyBorder="1" applyAlignment="1">
      <alignment horizontal="center"/>
    </xf>
    <xf numFmtId="0" fontId="57" fillId="0" borderId="87" xfId="0" applyFont="1" applyBorder="1" applyAlignment="1">
      <alignment horizontal="center" vertical="center"/>
    </xf>
    <xf numFmtId="0" fontId="56" fillId="0" borderId="82" xfId="0" applyFont="1" applyBorder="1"/>
    <xf numFmtId="0" fontId="56" fillId="0" borderId="87" xfId="0" applyFont="1" applyBorder="1" applyAlignment="1">
      <alignment horizontal="center"/>
    </xf>
    <xf numFmtId="0" fontId="56" fillId="0" borderId="89" xfId="0" applyFont="1" applyBorder="1" applyAlignment="1">
      <alignment horizontal="center"/>
    </xf>
    <xf numFmtId="178" fontId="56" fillId="0" borderId="89" xfId="0" applyNumberFormat="1" applyFont="1" applyBorder="1" applyAlignment="1">
      <alignment horizontal="center"/>
    </xf>
    <xf numFmtId="0" fontId="57" fillId="0" borderId="90" xfId="0" applyFont="1" applyBorder="1" applyAlignment="1">
      <alignment horizontal="center" vertical="center"/>
    </xf>
    <xf numFmtId="0" fontId="56" fillId="0" borderId="90" xfId="0" applyFont="1" applyBorder="1" applyAlignment="1">
      <alignment horizontal="left"/>
    </xf>
    <xf numFmtId="178" fontId="56" fillId="0" borderId="89" xfId="14" applyNumberFormat="1" applyFont="1" applyBorder="1" applyAlignment="1">
      <alignment horizontal="center"/>
    </xf>
    <xf numFmtId="0" fontId="57" fillId="0" borderId="89" xfId="0" applyFont="1" applyBorder="1" applyAlignment="1">
      <alignment horizontal="center" vertical="center"/>
    </xf>
    <xf numFmtId="0" fontId="56" fillId="0" borderId="86" xfId="0" applyFont="1" applyBorder="1"/>
    <xf numFmtId="0" fontId="56" fillId="0" borderId="86" xfId="0" applyFont="1" applyBorder="1" applyAlignment="1">
      <alignment horizontal="center"/>
    </xf>
    <xf numFmtId="178" fontId="56" fillId="0" borderId="86" xfId="0" applyNumberFormat="1" applyFont="1" applyBorder="1" applyAlignment="1">
      <alignment horizontal="center"/>
    </xf>
    <xf numFmtId="0" fontId="56" fillId="0" borderId="86" xfId="0" applyNumberFormat="1" applyFont="1" applyBorder="1" applyAlignment="1">
      <alignment horizontal="center"/>
    </xf>
    <xf numFmtId="0" fontId="56" fillId="0" borderId="91" xfId="0" applyFont="1" applyBorder="1"/>
    <xf numFmtId="0" fontId="56" fillId="0" borderId="79" xfId="0" applyFont="1" applyBorder="1"/>
    <xf numFmtId="178" fontId="56" fillId="0" borderId="88" xfId="0" applyNumberFormat="1" applyFont="1" applyBorder="1" applyAlignment="1">
      <alignment horizontal="center"/>
    </xf>
    <xf numFmtId="182" fontId="0" fillId="0" borderId="0" xfId="0" applyNumberFormat="1"/>
    <xf numFmtId="0" fontId="58" fillId="0" borderId="92" xfId="0" applyFont="1" applyBorder="1" applyAlignment="1">
      <alignment horizontal="right"/>
    </xf>
    <xf numFmtId="178" fontId="56" fillId="0" borderId="92" xfId="0" applyNumberFormat="1" applyFont="1" applyBorder="1" applyAlignment="1">
      <alignment horizontal="center"/>
    </xf>
    <xf numFmtId="178" fontId="0" fillId="0" borderId="0" xfId="0" applyNumberFormat="1"/>
    <xf numFmtId="0" fontId="12" fillId="1" borderId="75" xfId="0" applyFont="1" applyFill="1" applyBorder="1" applyAlignment="1">
      <alignment horizontal="center"/>
    </xf>
    <xf numFmtId="0" fontId="2" fillId="1" borderId="75" xfId="0" applyFont="1" applyFill="1" applyBorder="1"/>
    <xf numFmtId="0" fontId="2" fillId="1" borderId="78" xfId="0" applyFont="1" applyFill="1" applyBorder="1"/>
    <xf numFmtId="0" fontId="2" fillId="1" borderId="80" xfId="0" applyFont="1" applyFill="1" applyBorder="1"/>
    <xf numFmtId="0" fontId="2" fillId="1" borderId="87" xfId="0" applyFont="1" applyFill="1" applyBorder="1" applyAlignment="1">
      <alignment horizontal="center"/>
    </xf>
    <xf numFmtId="0" fontId="57" fillId="0" borderId="75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56" fillId="0" borderId="93" xfId="0" applyFont="1" applyBorder="1"/>
    <xf numFmtId="0" fontId="56" fillId="0" borderId="93" xfId="0" applyFont="1" applyBorder="1" applyAlignment="1">
      <alignment horizontal="center"/>
    </xf>
    <xf numFmtId="178" fontId="56" fillId="0" borderId="93" xfId="0" applyNumberFormat="1" applyFont="1" applyBorder="1" applyAlignment="1">
      <alignment horizontal="center"/>
    </xf>
    <xf numFmtId="0" fontId="57" fillId="0" borderId="66" xfId="0" applyFont="1" applyBorder="1" applyAlignment="1">
      <alignment horizontal="center"/>
    </xf>
    <xf numFmtId="0" fontId="56" fillId="0" borderId="93" xfId="0" applyFont="1" applyBorder="1" applyAlignment="1">
      <alignment horizontal="left"/>
    </xf>
    <xf numFmtId="0" fontId="56" fillId="0" borderId="93" xfId="15" applyNumberFormat="1" applyFont="1" applyBorder="1" applyAlignment="1">
      <alignment horizontal="center"/>
    </xf>
    <xf numFmtId="178" fontId="56" fillId="0" borderId="93" xfId="15" applyNumberFormat="1" applyFont="1" applyBorder="1" applyAlignment="1">
      <alignment horizontal="center"/>
    </xf>
    <xf numFmtId="0" fontId="57" fillId="0" borderId="87" xfId="0" applyFont="1" applyBorder="1" applyAlignment="1">
      <alignment horizontal="center"/>
    </xf>
    <xf numFmtId="0" fontId="56" fillId="0" borderId="81" xfId="0" applyFont="1" applyBorder="1" applyAlignment="1">
      <alignment horizontal="left"/>
    </xf>
    <xf numFmtId="0" fontId="56" fillId="0" borderId="87" xfId="15" applyNumberFormat="1" applyFont="1" applyBorder="1" applyAlignment="1">
      <alignment horizontal="center"/>
    </xf>
    <xf numFmtId="178" fontId="56" fillId="0" borderId="87" xfId="15" applyNumberFormat="1" applyFont="1" applyBorder="1" applyAlignment="1">
      <alignment horizontal="center"/>
    </xf>
    <xf numFmtId="0" fontId="0" fillId="0" borderId="88" xfId="0" applyBorder="1"/>
    <xf numFmtId="180" fontId="56" fillId="0" borderId="88" xfId="0" applyNumberFormat="1" applyFont="1" applyBorder="1" applyAlignment="1">
      <alignment horizontal="center"/>
    </xf>
    <xf numFmtId="0" fontId="0" fillId="0" borderId="93" xfId="0" applyBorder="1"/>
    <xf numFmtId="180" fontId="56" fillId="0" borderId="93" xfId="0" applyNumberFormat="1" applyFont="1" applyBorder="1" applyAlignment="1">
      <alignment horizontal="center"/>
    </xf>
    <xf numFmtId="0" fontId="0" fillId="0" borderId="87" xfId="0" applyBorder="1"/>
    <xf numFmtId="0" fontId="57" fillId="0" borderId="90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left" vertical="center" wrapText="1"/>
    </xf>
    <xf numFmtId="0" fontId="56" fillId="0" borderId="93" xfId="0" applyFont="1" applyBorder="1" applyAlignment="1">
      <alignment horizontal="center" vertical="center" wrapText="1"/>
    </xf>
    <xf numFmtId="0" fontId="57" fillId="0" borderId="87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left" vertical="center" wrapText="1"/>
    </xf>
    <xf numFmtId="0" fontId="57" fillId="0" borderId="93" xfId="0" applyFont="1" applyBorder="1" applyAlignment="1">
      <alignment horizontal="center" vertical="center" wrapText="1"/>
    </xf>
    <xf numFmtId="0" fontId="56" fillId="0" borderId="93" xfId="0" applyFont="1" applyBorder="1" applyAlignment="1">
      <alignment horizontal="left" vertical="center" wrapText="1"/>
    </xf>
    <xf numFmtId="0" fontId="57" fillId="0" borderId="90" xfId="0" applyFont="1" applyBorder="1" applyAlignment="1">
      <alignment horizontal="center"/>
    </xf>
    <xf numFmtId="0" fontId="56" fillId="0" borderId="90" xfId="0" applyFont="1" applyBorder="1"/>
    <xf numFmtId="0" fontId="56" fillId="0" borderId="90" xfId="0" applyFont="1" applyBorder="1" applyAlignment="1">
      <alignment horizontal="center"/>
    </xf>
    <xf numFmtId="178" fontId="56" fillId="0" borderId="90" xfId="0" applyNumberFormat="1" applyFont="1" applyBorder="1" applyAlignment="1">
      <alignment horizontal="center"/>
    </xf>
    <xf numFmtId="0" fontId="56" fillId="0" borderId="87" xfId="0" applyFont="1" applyBorder="1"/>
    <xf numFmtId="0" fontId="12" fillId="1" borderId="76" xfId="0" applyFont="1" applyFill="1" applyBorder="1" applyAlignment="1">
      <alignment horizontal="right"/>
    </xf>
    <xf numFmtId="178" fontId="59" fillId="0" borderId="86" xfId="14" applyNumberFormat="1" applyFont="1" applyBorder="1" applyAlignment="1">
      <alignment horizontal="center"/>
    </xf>
    <xf numFmtId="9" fontId="13" fillId="1" borderId="68" xfId="0" applyNumberFormat="1" applyFont="1" applyFill="1" applyBorder="1"/>
    <xf numFmtId="166" fontId="13" fillId="1" borderId="69" xfId="0" applyNumberFormat="1" applyFont="1" applyFill="1" applyBorder="1" applyAlignment="1">
      <alignment horizontal="center"/>
    </xf>
    <xf numFmtId="0" fontId="4" fillId="1" borderId="80" xfId="0" applyFont="1" applyFill="1" applyBorder="1" applyAlignment="1">
      <alignment horizontal="left"/>
    </xf>
    <xf numFmtId="0" fontId="4" fillId="1" borderId="81" xfId="0" applyFont="1" applyFill="1" applyBorder="1" applyAlignment="1">
      <alignment horizontal="left"/>
    </xf>
    <xf numFmtId="0" fontId="12" fillId="1" borderId="81" xfId="0" applyFont="1" applyFill="1" applyBorder="1" applyAlignment="1">
      <alignment horizontal="right"/>
    </xf>
    <xf numFmtId="178" fontId="60" fillId="0" borderId="87" xfId="14" applyNumberFormat="1" applyFont="1" applyBorder="1" applyAlignment="1">
      <alignment horizontal="center"/>
    </xf>
    <xf numFmtId="178" fontId="0" fillId="0" borderId="0" xfId="0" applyNumberFormat="1" applyFill="1"/>
    <xf numFmtId="0" fontId="0" fillId="0" borderId="0" xfId="0" applyAlignment="1">
      <alignment horizontal="center"/>
    </xf>
    <xf numFmtId="0" fontId="61" fillId="0" borderId="0" xfId="0" applyFont="1"/>
    <xf numFmtId="178" fontId="56" fillId="0" borderId="93" xfId="14" applyNumberFormat="1" applyFont="1" applyBorder="1" applyAlignment="1">
      <alignment horizontal="center"/>
    </xf>
    <xf numFmtId="2" fontId="56" fillId="0" borderId="93" xfId="0" applyNumberFormat="1" applyFont="1" applyBorder="1" applyAlignment="1">
      <alignment horizontal="center"/>
    </xf>
    <xf numFmtId="2" fontId="56" fillId="0" borderId="93" xfId="15" applyNumberFormat="1" applyFont="1" applyBorder="1" applyAlignment="1">
      <alignment horizontal="center"/>
    </xf>
    <xf numFmtId="2" fontId="56" fillId="0" borderId="87" xfId="15" applyNumberFormat="1" applyFont="1" applyBorder="1" applyAlignment="1">
      <alignment horizontal="center"/>
    </xf>
    <xf numFmtId="0" fontId="13" fillId="0" borderId="84" xfId="0" applyFont="1" applyBorder="1" applyAlignment="1">
      <alignment horizontal="left" vertical="center" wrapText="1"/>
    </xf>
    <xf numFmtId="0" fontId="56" fillId="0" borderId="84" xfId="0" applyFont="1" applyBorder="1" applyAlignment="1">
      <alignment horizontal="center" vertical="center" wrapText="1"/>
    </xf>
    <xf numFmtId="178" fontId="56" fillId="0" borderId="84" xfId="0" applyNumberFormat="1" applyFont="1" applyBorder="1" applyAlignment="1">
      <alignment horizontal="center"/>
    </xf>
    <xf numFmtId="0" fontId="56" fillId="0" borderId="84" xfId="0" applyFont="1" applyBorder="1" applyAlignment="1">
      <alignment horizontal="center"/>
    </xf>
    <xf numFmtId="0" fontId="13" fillId="0" borderId="82" xfId="0" applyFont="1" applyBorder="1" applyAlignment="1">
      <alignment horizontal="left" vertical="center" wrapText="1"/>
    </xf>
    <xf numFmtId="0" fontId="56" fillId="0" borderId="91" xfId="0" applyFont="1" applyBorder="1" applyAlignment="1">
      <alignment horizontal="center" vertical="center" wrapText="1"/>
    </xf>
    <xf numFmtId="178" fontId="56" fillId="0" borderId="91" xfId="0" applyNumberFormat="1" applyFont="1" applyBorder="1" applyAlignment="1">
      <alignment horizontal="center"/>
    </xf>
    <xf numFmtId="0" fontId="56" fillId="0" borderId="91" xfId="0" applyFont="1" applyBorder="1" applyAlignment="1">
      <alignment horizontal="center"/>
    </xf>
    <xf numFmtId="183" fontId="0" fillId="0" borderId="0" xfId="0" applyNumberFormat="1"/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8" fontId="60" fillId="0" borderId="0" xfId="14" applyNumberFormat="1" applyFont="1" applyBorder="1" applyAlignment="1">
      <alignment horizontal="center"/>
    </xf>
    <xf numFmtId="0" fontId="56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57" fillId="0" borderId="86" xfId="0" applyFont="1" applyBorder="1" applyAlignment="1">
      <alignment horizontal="center"/>
    </xf>
    <xf numFmtId="0" fontId="56" fillId="0" borderId="77" xfId="0" applyFont="1" applyBorder="1"/>
    <xf numFmtId="0" fontId="56" fillId="0" borderId="84" xfId="0" applyFont="1" applyBorder="1"/>
    <xf numFmtId="0" fontId="56" fillId="0" borderId="93" xfId="0" applyNumberFormat="1" applyFont="1" applyBorder="1" applyAlignment="1">
      <alignment horizontal="center"/>
    </xf>
    <xf numFmtId="178" fontId="56" fillId="0" borderId="77" xfId="0" applyNumberFormat="1" applyFont="1" applyBorder="1" applyAlignment="1">
      <alignment horizontal="center"/>
    </xf>
    <xf numFmtId="4" fontId="0" fillId="0" borderId="0" xfId="0" applyNumberFormat="1"/>
    <xf numFmtId="0" fontId="56" fillId="0" borderId="94" xfId="0" applyFont="1" applyBorder="1"/>
    <xf numFmtId="166" fontId="56" fillId="0" borderId="90" xfId="14" applyNumberFormat="1" applyFont="1" applyBorder="1" applyAlignment="1">
      <alignment horizontal="center"/>
    </xf>
    <xf numFmtId="166" fontId="56" fillId="0" borderId="89" xfId="0" applyNumberFormat="1" applyFont="1" applyBorder="1" applyAlignment="1">
      <alignment horizontal="center"/>
    </xf>
    <xf numFmtId="166" fontId="56" fillId="0" borderId="87" xfId="0" applyNumberFormat="1" applyFont="1" applyBorder="1" applyAlignment="1">
      <alignment horizontal="center"/>
    </xf>
    <xf numFmtId="178" fontId="56" fillId="0" borderId="90" xfId="14" applyNumberFormat="1" applyFont="1" applyBorder="1" applyAlignment="1">
      <alignment horizontal="center"/>
    </xf>
    <xf numFmtId="0" fontId="57" fillId="0" borderId="88" xfId="0" applyFont="1" applyBorder="1" applyAlignment="1">
      <alignment horizontal="center" vertical="center" wrapText="1"/>
    </xf>
    <xf numFmtId="0" fontId="56" fillId="0" borderId="88" xfId="0" applyFont="1" applyBorder="1" applyAlignment="1">
      <alignment horizontal="left" vertical="center" wrapText="1"/>
    </xf>
    <xf numFmtId="0" fontId="56" fillId="0" borderId="88" xfId="0" applyFont="1" applyBorder="1" applyAlignment="1">
      <alignment horizontal="center" vertical="center" wrapText="1"/>
    </xf>
    <xf numFmtId="0" fontId="56" fillId="0" borderId="88" xfId="0" applyFont="1" applyBorder="1" applyAlignment="1">
      <alignment horizontal="center"/>
    </xf>
    <xf numFmtId="0" fontId="56" fillId="0" borderId="94" xfId="0" applyFont="1" applyBorder="1" applyAlignment="1">
      <alignment wrapText="1"/>
    </xf>
    <xf numFmtId="166" fontId="56" fillId="0" borderId="89" xfId="14" applyNumberFormat="1" applyFont="1" applyBorder="1" applyAlignment="1">
      <alignment horizontal="center"/>
    </xf>
    <xf numFmtId="184" fontId="0" fillId="0" borderId="0" xfId="0" applyNumberFormat="1"/>
    <xf numFmtId="185" fontId="0" fillId="0" borderId="0" xfId="0" applyNumberFormat="1"/>
    <xf numFmtId="0" fontId="57" fillId="0" borderId="75" xfId="0" applyFont="1" applyBorder="1" applyAlignment="1">
      <alignment horizontal="center" vertical="center"/>
    </xf>
    <xf numFmtId="166" fontId="56" fillId="0" borderId="86" xfId="0" applyNumberFormat="1" applyFont="1" applyBorder="1" applyAlignment="1">
      <alignment horizontal="center"/>
    </xf>
    <xf numFmtId="166" fontId="56" fillId="0" borderId="86" xfId="0" applyNumberFormat="1" applyFont="1" applyBorder="1" applyAlignment="1">
      <alignment horizontal="center" vertical="center"/>
    </xf>
    <xf numFmtId="1" fontId="56" fillId="0" borderId="93" xfId="0" applyNumberFormat="1" applyFont="1" applyBorder="1" applyAlignment="1">
      <alignment horizontal="center"/>
    </xf>
    <xf numFmtId="166" fontId="56" fillId="0" borderId="93" xfId="0" applyNumberFormat="1" applyFont="1" applyBorder="1" applyAlignment="1">
      <alignment horizontal="center"/>
    </xf>
    <xf numFmtId="166" fontId="56" fillId="0" borderId="93" xfId="15" applyNumberFormat="1" applyFont="1" applyBorder="1" applyAlignment="1">
      <alignment horizontal="center"/>
    </xf>
    <xf numFmtId="166" fontId="56" fillId="0" borderId="87" xfId="15" applyNumberFormat="1" applyFont="1" applyBorder="1" applyAlignment="1">
      <alignment horizontal="center"/>
    </xf>
    <xf numFmtId="186" fontId="0" fillId="0" borderId="0" xfId="0" applyNumberFormat="1"/>
    <xf numFmtId="0" fontId="23" fillId="0" borderId="39" xfId="0" applyFont="1" applyBorder="1" applyAlignment="1">
      <alignment horizontal="left"/>
    </xf>
    <xf numFmtId="182" fontId="0" fillId="7" borderId="0" xfId="0" applyNumberFormat="1" applyFill="1"/>
    <xf numFmtId="0" fontId="56" fillId="0" borderId="77" xfId="0" applyFont="1" applyBorder="1" applyAlignment="1">
      <alignment wrapText="1"/>
    </xf>
    <xf numFmtId="0" fontId="56" fillId="0" borderId="84" xfId="0" applyFont="1" applyBorder="1" applyAlignment="1">
      <alignment horizontal="left"/>
    </xf>
    <xf numFmtId="178" fontId="56" fillId="4" borderId="93" xfId="15" applyNumberFormat="1" applyFont="1" applyFill="1" applyBorder="1" applyAlignment="1">
      <alignment horizontal="center"/>
    </xf>
    <xf numFmtId="0" fontId="57" fillId="0" borderId="95" xfId="0" applyFont="1" applyBorder="1" applyAlignment="1">
      <alignment horizontal="center"/>
    </xf>
    <xf numFmtId="178" fontId="56" fillId="0" borderId="88" xfId="15" applyNumberFormat="1" applyFont="1" applyBorder="1" applyAlignment="1">
      <alignment horizontal="center"/>
    </xf>
    <xf numFmtId="0" fontId="57" fillId="0" borderId="96" xfId="0" applyFont="1" applyBorder="1" applyAlignment="1">
      <alignment horizontal="center"/>
    </xf>
    <xf numFmtId="178" fontId="56" fillId="4" borderId="87" xfId="15" applyNumberFormat="1" applyFont="1" applyFill="1" applyBorder="1" applyAlignment="1">
      <alignment horizontal="center"/>
    </xf>
    <xf numFmtId="178" fontId="56" fillId="0" borderId="78" xfId="15" applyNumberFormat="1" applyFont="1" applyBorder="1" applyAlignment="1">
      <alignment horizontal="center"/>
    </xf>
    <xf numFmtId="178" fontId="56" fillId="0" borderId="96" xfId="0" applyNumberFormat="1" applyFont="1" applyBorder="1" applyAlignment="1">
      <alignment horizontal="center"/>
    </xf>
    <xf numFmtId="0" fontId="0" fillId="0" borderId="0" xfId="0" applyFill="1" applyBorder="1" applyAlignment="1"/>
    <xf numFmtId="168" fontId="56" fillId="0" borderId="93" xfId="0" applyNumberFormat="1" applyFont="1" applyBorder="1" applyAlignment="1">
      <alignment horizontal="center"/>
    </xf>
    <xf numFmtId="168" fontId="56" fillId="0" borderId="93" xfId="15" applyNumberFormat="1" applyFont="1" applyBorder="1" applyAlignment="1">
      <alignment horizontal="center"/>
    </xf>
    <xf numFmtId="0" fontId="56" fillId="0" borderId="66" xfId="0" applyFont="1" applyBorder="1" applyAlignment="1">
      <alignment horizontal="left"/>
    </xf>
    <xf numFmtId="0" fontId="56" fillId="0" borderId="39" xfId="0" applyFont="1" applyBorder="1" applyAlignment="1">
      <alignment horizontal="left"/>
    </xf>
    <xf numFmtId="0" fontId="57" fillId="0" borderId="92" xfId="0" applyFont="1" applyBorder="1" applyAlignment="1">
      <alignment horizontal="center"/>
    </xf>
    <xf numFmtId="0" fontId="56" fillId="0" borderId="92" xfId="0" applyFont="1" applyBorder="1"/>
    <xf numFmtId="0" fontId="56" fillId="0" borderId="92" xfId="0" applyFont="1" applyBorder="1" applyAlignment="1">
      <alignment horizontal="center"/>
    </xf>
    <xf numFmtId="0" fontId="58" fillId="0" borderId="0" xfId="0" applyFont="1" applyFill="1" applyBorder="1" applyAlignment="1">
      <alignment horizontal="right"/>
    </xf>
    <xf numFmtId="0" fontId="56" fillId="0" borderId="87" xfId="0" applyFont="1" applyBorder="1" applyAlignment="1">
      <alignment horizontal="left"/>
    </xf>
    <xf numFmtId="166" fontId="60" fillId="0" borderId="87" xfId="14" applyNumberFormat="1" applyFont="1" applyBorder="1" applyAlignment="1">
      <alignment horizontal="center"/>
    </xf>
    <xf numFmtId="166" fontId="56" fillId="0" borderId="93" xfId="14" applyNumberFormat="1" applyFont="1" applyBorder="1" applyAlignment="1">
      <alignment horizontal="center"/>
    </xf>
    <xf numFmtId="0" fontId="57" fillId="0" borderId="75" xfId="0" applyFont="1" applyFill="1" applyBorder="1" applyAlignment="1">
      <alignment horizontal="center"/>
    </xf>
    <xf numFmtId="0" fontId="56" fillId="0" borderId="86" xfId="0" applyFont="1" applyFill="1" applyBorder="1"/>
    <xf numFmtId="0" fontId="56" fillId="0" borderId="86" xfId="0" applyFont="1" applyFill="1" applyBorder="1" applyAlignment="1">
      <alignment horizontal="center"/>
    </xf>
    <xf numFmtId="166" fontId="56" fillId="0" borderId="86" xfId="0" applyNumberFormat="1" applyFont="1" applyFill="1" applyBorder="1" applyAlignment="1">
      <alignment horizontal="center"/>
    </xf>
    <xf numFmtId="178" fontId="56" fillId="0" borderId="86" xfId="0" applyNumberFormat="1" applyFont="1" applyFill="1" applyBorder="1" applyAlignment="1">
      <alignment horizontal="center"/>
    </xf>
    <xf numFmtId="166" fontId="56" fillId="4" borderId="93" xfId="15" applyNumberFormat="1" applyFont="1" applyFill="1" applyBorder="1" applyAlignment="1">
      <alignment horizontal="center"/>
    </xf>
    <xf numFmtId="178" fontId="56" fillId="0" borderId="90" xfId="14" applyNumberFormat="1" applyFont="1" applyFill="1" applyBorder="1" applyAlignment="1">
      <alignment horizontal="center"/>
    </xf>
    <xf numFmtId="178" fontId="0" fillId="0" borderId="87" xfId="0" applyNumberFormat="1" applyBorder="1"/>
    <xf numFmtId="0" fontId="57" fillId="0" borderId="80" xfId="0" applyFont="1" applyBorder="1" applyAlignment="1">
      <alignment horizontal="center"/>
    </xf>
    <xf numFmtId="0" fontId="13" fillId="0" borderId="87" xfId="0" applyFont="1" applyBorder="1" applyAlignment="1">
      <alignment horizontal="center" vertical="center" wrapText="1"/>
    </xf>
    <xf numFmtId="0" fontId="13" fillId="0" borderId="87" xfId="0" applyFont="1" applyBorder="1"/>
    <xf numFmtId="0" fontId="57" fillId="0" borderId="64" xfId="0" applyFont="1" applyBorder="1" applyAlignment="1">
      <alignment horizontal="center"/>
    </xf>
    <xf numFmtId="0" fontId="56" fillId="0" borderId="96" xfId="0" applyFont="1" applyBorder="1" applyAlignment="1">
      <alignment horizontal="left"/>
    </xf>
    <xf numFmtId="0" fontId="56" fillId="0" borderId="96" xfId="0" applyFont="1" applyBorder="1" applyAlignment="1">
      <alignment horizontal="center"/>
    </xf>
    <xf numFmtId="0" fontId="56" fillId="0" borderId="96" xfId="15" applyNumberFormat="1" applyFont="1" applyBorder="1" applyAlignment="1">
      <alignment horizontal="center"/>
    </xf>
    <xf numFmtId="178" fontId="56" fillId="0" borderId="96" xfId="15" applyNumberFormat="1" applyFont="1" applyBorder="1" applyAlignment="1">
      <alignment horizontal="center"/>
    </xf>
    <xf numFmtId="0" fontId="56" fillId="0" borderId="94" xfId="0" applyFont="1" applyBorder="1" applyAlignment="1">
      <alignment horizontal="left" vertical="top" wrapText="1"/>
    </xf>
    <xf numFmtId="0" fontId="56" fillId="0" borderId="86" xfId="0" applyFont="1" applyBorder="1" applyAlignment="1">
      <alignment wrapText="1"/>
    </xf>
    <xf numFmtId="166" fontId="56" fillId="0" borderId="92" xfId="0" applyNumberFormat="1" applyFont="1" applyBorder="1" applyAlignment="1">
      <alignment horizontal="center"/>
    </xf>
    <xf numFmtId="166" fontId="59" fillId="0" borderId="86" xfId="14" applyNumberFormat="1" applyFont="1" applyBorder="1" applyAlignment="1">
      <alignment horizontal="center"/>
    </xf>
    <xf numFmtId="0" fontId="13" fillId="0" borderId="0" xfId="6" applyFont="1" applyBorder="1" applyAlignment="1"/>
    <xf numFmtId="0" fontId="12" fillId="0" borderId="92" xfId="0" applyFont="1" applyBorder="1" applyAlignment="1">
      <alignment horizontal="right"/>
    </xf>
    <xf numFmtId="1" fontId="56" fillId="0" borderId="93" xfId="15" applyNumberFormat="1" applyFont="1" applyBorder="1" applyAlignment="1">
      <alignment horizontal="center"/>
    </xf>
    <xf numFmtId="169" fontId="56" fillId="0" borderId="93" xfId="15" applyNumberFormat="1" applyFont="1" applyBorder="1" applyAlignment="1">
      <alignment horizontal="center"/>
    </xf>
    <xf numFmtId="173" fontId="11" fillId="8" borderId="12" xfId="11" applyNumberFormat="1" applyFont="1" applyFill="1" applyBorder="1">
      <alignment vertical="top"/>
    </xf>
    <xf numFmtId="173" fontId="11" fillId="8" borderId="14" xfId="11" applyNumberFormat="1" applyFont="1" applyFill="1" applyBorder="1">
      <alignment vertical="top"/>
    </xf>
    <xf numFmtId="0" fontId="11" fillId="8" borderId="14" xfId="11" applyFont="1" applyFill="1" applyBorder="1">
      <alignment vertical="top"/>
    </xf>
    <xf numFmtId="173" fontId="11" fillId="8" borderId="23" xfId="11" applyNumberFormat="1" applyFont="1" applyFill="1" applyBorder="1">
      <alignment vertical="top"/>
    </xf>
    <xf numFmtId="173" fontId="11" fillId="8" borderId="28" xfId="11" applyNumberFormat="1" applyFont="1" applyFill="1" applyBorder="1">
      <alignment vertical="top"/>
    </xf>
    <xf numFmtId="0" fontId="3" fillId="0" borderId="0" xfId="6" applyFont="1"/>
    <xf numFmtId="0" fontId="3" fillId="4" borderId="40" xfId="6" applyFont="1" applyFill="1" applyBorder="1"/>
    <xf numFmtId="0" fontId="3" fillId="4" borderId="0" xfId="6" applyFont="1" applyFill="1" applyBorder="1"/>
    <xf numFmtId="0" fontId="3" fillId="4" borderId="41" xfId="6" applyFont="1" applyFill="1" applyBorder="1"/>
    <xf numFmtId="0" fontId="25" fillId="0" borderId="0" xfId="5" applyFont="1"/>
    <xf numFmtId="0" fontId="28" fillId="4" borderId="42" xfId="5" applyFont="1" applyFill="1" applyBorder="1" applyAlignment="1">
      <alignment horizontal="center" vertical="center" wrapText="1"/>
    </xf>
    <xf numFmtId="0" fontId="28" fillId="4" borderId="43" xfId="5" applyFont="1" applyFill="1" applyBorder="1" applyAlignment="1">
      <alignment horizontal="center" vertical="center" wrapText="1"/>
    </xf>
    <xf numFmtId="2" fontId="28" fillId="4" borderId="43" xfId="5" applyNumberFormat="1" applyFont="1" applyFill="1" applyBorder="1" applyAlignment="1">
      <alignment horizontal="center" vertical="center" wrapText="1"/>
    </xf>
    <xf numFmtId="0" fontId="25" fillId="0" borderId="43" xfId="5" applyFont="1" applyBorder="1"/>
    <xf numFmtId="0" fontId="28" fillId="4" borderId="47" xfId="5" applyFont="1" applyFill="1" applyBorder="1" applyAlignment="1">
      <alignment horizontal="center" vertical="center" wrapText="1"/>
    </xf>
    <xf numFmtId="0" fontId="33" fillId="11" borderId="54" xfId="5" applyFont="1" applyFill="1" applyBorder="1" applyAlignment="1">
      <alignment horizontal="center" vertical="center"/>
    </xf>
    <xf numFmtId="0" fontId="33" fillId="11" borderId="55" xfId="5" applyFont="1" applyFill="1" applyBorder="1" applyAlignment="1">
      <alignment horizontal="center" vertical="center"/>
    </xf>
    <xf numFmtId="0" fontId="33" fillId="11" borderId="55" xfId="5" applyFont="1" applyFill="1" applyBorder="1" applyAlignment="1">
      <alignment horizontal="center" vertical="center" wrapText="1"/>
    </xf>
    <xf numFmtId="0" fontId="33" fillId="11" borderId="56" xfId="5" applyFont="1" applyFill="1" applyBorder="1" applyAlignment="1">
      <alignment horizontal="center" vertical="center" wrapText="1"/>
    </xf>
    <xf numFmtId="0" fontId="32" fillId="0" borderId="0" xfId="5" applyFont="1"/>
    <xf numFmtId="0" fontId="8" fillId="0" borderId="20" xfId="5" applyFont="1" applyBorder="1" applyAlignment="1">
      <alignment horizontal="left" vertical="center"/>
    </xf>
    <xf numFmtId="0" fontId="3" fillId="0" borderId="20" xfId="5" applyFont="1" applyBorder="1" applyAlignment="1">
      <alignment horizontal="left" vertical="center"/>
    </xf>
    <xf numFmtId="0" fontId="3" fillId="0" borderId="2" xfId="5" applyFont="1" applyFill="1" applyBorder="1" applyAlignment="1">
      <alignment horizontal="justify" vertical="center" wrapText="1"/>
    </xf>
    <xf numFmtId="0" fontId="3" fillId="0" borderId="2" xfId="5" applyFont="1" applyBorder="1" applyAlignment="1">
      <alignment horizontal="center" vertical="center"/>
    </xf>
    <xf numFmtId="0" fontId="3" fillId="12" borderId="2" xfId="5" applyFont="1" applyFill="1" applyBorder="1" applyAlignment="1">
      <alignment horizontal="center" vertical="center"/>
    </xf>
    <xf numFmtId="4" fontId="3" fillId="12" borderId="2" xfId="5" applyNumberFormat="1" applyFont="1" applyFill="1" applyBorder="1" applyAlignment="1">
      <alignment horizontal="center" vertical="center"/>
    </xf>
    <xf numFmtId="3" fontId="3" fillId="0" borderId="2" xfId="5" applyNumberFormat="1" applyFont="1" applyBorder="1" applyAlignment="1">
      <alignment horizontal="right" vertical="center"/>
    </xf>
    <xf numFmtId="2" fontId="3" fillId="0" borderId="2" xfId="5" applyNumberFormat="1" applyFont="1" applyBorder="1" applyAlignment="1">
      <alignment horizontal="center" vertical="center"/>
    </xf>
    <xf numFmtId="3" fontId="3" fillId="0" borderId="21" xfId="5" applyNumberFormat="1" applyFont="1" applyBorder="1" applyAlignment="1">
      <alignment horizontal="right" vertical="center"/>
    </xf>
    <xf numFmtId="3" fontId="28" fillId="0" borderId="21" xfId="5" applyNumberFormat="1" applyFont="1" applyBorder="1" applyAlignment="1">
      <alignment horizontal="right" vertical="center"/>
    </xf>
    <xf numFmtId="0" fontId="25" fillId="0" borderId="42" xfId="5" applyFont="1" applyBorder="1" applyAlignment="1">
      <alignment vertical="center"/>
    </xf>
    <xf numFmtId="0" fontId="25" fillId="0" borderId="43" xfId="5" applyFont="1" applyBorder="1" applyAlignment="1">
      <alignment vertical="center"/>
    </xf>
    <xf numFmtId="0" fontId="25" fillId="0" borderId="47" xfId="5" applyFont="1" applyBorder="1" applyAlignment="1">
      <alignment vertical="center"/>
    </xf>
    <xf numFmtId="0" fontId="28" fillId="11" borderId="54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 wrapText="1"/>
    </xf>
    <xf numFmtId="0" fontId="28" fillId="11" borderId="56" xfId="5" applyFont="1" applyFill="1" applyBorder="1" applyAlignment="1">
      <alignment horizontal="center" vertical="center" wrapText="1"/>
    </xf>
    <xf numFmtId="0" fontId="25" fillId="0" borderId="20" xfId="5" applyFont="1" applyBorder="1" applyAlignment="1">
      <alignment horizontal="left" vertical="center"/>
    </xf>
    <xf numFmtId="0" fontId="34" fillId="0" borderId="2" xfId="5" applyFont="1" applyFill="1" applyBorder="1" applyAlignment="1">
      <alignment horizontal="justify" vertical="center" wrapText="1"/>
    </xf>
    <xf numFmtId="0" fontId="25" fillId="0" borderId="2" xfId="5" applyFont="1" applyBorder="1" applyAlignment="1">
      <alignment horizontal="center" vertical="center"/>
    </xf>
    <xf numFmtId="0" fontId="25" fillId="12" borderId="2" xfId="5" applyFont="1" applyFill="1" applyBorder="1" applyAlignment="1">
      <alignment horizontal="center" vertical="center"/>
    </xf>
    <xf numFmtId="3" fontId="25" fillId="0" borderId="21" xfId="5" applyNumberFormat="1" applyFont="1" applyBorder="1" applyAlignment="1">
      <alignment vertical="center"/>
    </xf>
    <xf numFmtId="3" fontId="28" fillId="4" borderId="21" xfId="5" applyNumberFormat="1" applyFont="1" applyFill="1" applyBorder="1" applyAlignment="1">
      <alignment vertical="center"/>
    </xf>
    <xf numFmtId="3" fontId="28" fillId="0" borderId="21" xfId="5" applyNumberFormat="1" applyFont="1" applyBorder="1" applyAlignment="1">
      <alignment vertical="center"/>
    </xf>
    <xf numFmtId="10" fontId="28" fillId="0" borderId="2" xfId="10" applyNumberFormat="1" applyFont="1" applyBorder="1" applyAlignment="1">
      <alignment vertical="center"/>
    </xf>
    <xf numFmtId="3" fontId="28" fillId="0" borderId="21" xfId="5" applyNumberFormat="1" applyFont="1" applyFill="1" applyBorder="1" applyAlignment="1">
      <alignment vertical="center"/>
    </xf>
    <xf numFmtId="0" fontId="25" fillId="0" borderId="0" xfId="5" applyFont="1" applyBorder="1" applyAlignment="1">
      <alignment vertical="center"/>
    </xf>
    <xf numFmtId="0" fontId="28" fillId="0" borderId="2" xfId="5" applyFont="1" applyFill="1" applyBorder="1" applyAlignment="1">
      <alignment horizontal="center" vertical="center"/>
    </xf>
    <xf numFmtId="9" fontId="28" fillId="0" borderId="2" xfId="10" applyNumberFormat="1" applyFont="1" applyBorder="1" applyAlignment="1">
      <alignment vertical="center"/>
    </xf>
    <xf numFmtId="3" fontId="28" fillId="10" borderId="26" xfId="5" applyNumberFormat="1" applyFont="1" applyFill="1" applyBorder="1" applyAlignment="1">
      <alignment vertical="center"/>
    </xf>
    <xf numFmtId="0" fontId="25" fillId="0" borderId="0" xfId="5" applyFont="1" applyAlignment="1">
      <alignment horizontal="justify" vertical="center" wrapText="1"/>
    </xf>
    <xf numFmtId="0" fontId="30" fillId="0" borderId="0" xfId="5" applyFont="1" applyAlignment="1">
      <alignment vertical="center"/>
    </xf>
    <xf numFmtId="0" fontId="25" fillId="0" borderId="0" xfId="5" applyFont="1" applyAlignment="1">
      <alignment horizontal="center" vertical="center" wrapText="1"/>
    </xf>
    <xf numFmtId="0" fontId="25" fillId="0" borderId="0" xfId="5" applyFont="1" applyAlignment="1">
      <alignment horizontal="center"/>
    </xf>
    <xf numFmtId="0" fontId="23" fillId="0" borderId="0" xfId="5" applyFont="1" applyAlignment="1">
      <alignment horizontal="center" vertical="center"/>
    </xf>
    <xf numFmtId="0" fontId="30" fillId="0" borderId="0" xfId="5" applyNumberFormat="1" applyFont="1" applyAlignment="1">
      <alignment horizontal="center" vertical="center"/>
    </xf>
    <xf numFmtId="0" fontId="25" fillId="0" borderId="0" xfId="5" applyNumberFormat="1" applyFont="1" applyAlignment="1">
      <alignment horizontal="center" vertical="center" wrapText="1"/>
    </xf>
    <xf numFmtId="166" fontId="25" fillId="0" borderId="0" xfId="5" applyNumberFormat="1" applyFont="1" applyAlignment="1">
      <alignment horizontal="center" vertical="center" wrapText="1"/>
    </xf>
    <xf numFmtId="0" fontId="28" fillId="0" borderId="0" xfId="5" applyFont="1" applyAlignment="1">
      <alignment horizontal="center" vertical="center"/>
    </xf>
    <xf numFmtId="0" fontId="8" fillId="10" borderId="52" xfId="5" applyFont="1" applyFill="1" applyBorder="1" applyAlignment="1">
      <alignment horizontal="center"/>
    </xf>
    <xf numFmtId="0" fontId="8" fillId="10" borderId="57" xfId="5" applyFont="1" applyFill="1" applyBorder="1" applyAlignment="1">
      <alignment horizontal="center"/>
    </xf>
    <xf numFmtId="0" fontId="8" fillId="10" borderId="53" xfId="5" applyFont="1" applyFill="1" applyBorder="1" applyAlignment="1">
      <alignment horizontal="center"/>
    </xf>
    <xf numFmtId="0" fontId="8" fillId="10" borderId="51" xfId="5" applyFont="1" applyFill="1" applyBorder="1" applyAlignment="1">
      <alignment horizontal="center"/>
    </xf>
    <xf numFmtId="0" fontId="25" fillId="0" borderId="20" xfId="5" applyFont="1" applyBorder="1"/>
    <xf numFmtId="0" fontId="25" fillId="0" borderId="31" xfId="5" applyFont="1" applyBorder="1"/>
    <xf numFmtId="0" fontId="25" fillId="0" borderId="2" xfId="5" applyFont="1" applyBorder="1" applyAlignment="1">
      <alignment horizontal="center"/>
    </xf>
    <xf numFmtId="0" fontId="25" fillId="0" borderId="2" xfId="5" applyFont="1" applyBorder="1"/>
    <xf numFmtId="2" fontId="8" fillId="0" borderId="21" xfId="5" applyNumberFormat="1" applyFont="1" applyBorder="1"/>
    <xf numFmtId="2" fontId="25" fillId="0" borderId="21" xfId="5" applyNumberFormat="1" applyFont="1" applyBorder="1"/>
    <xf numFmtId="0" fontId="25" fillId="0" borderId="21" xfId="5" applyFont="1" applyBorder="1"/>
    <xf numFmtId="0" fontId="28" fillId="11" borderId="20" xfId="5" applyFont="1" applyFill="1" applyBorder="1"/>
    <xf numFmtId="0" fontId="28" fillId="11" borderId="31" xfId="5" applyFont="1" applyFill="1" applyBorder="1"/>
    <xf numFmtId="0" fontId="28" fillId="11" borderId="2" xfId="5" applyFont="1" applyFill="1" applyBorder="1" applyAlignment="1">
      <alignment horizontal="center"/>
    </xf>
    <xf numFmtId="0" fontId="28" fillId="11" borderId="2" xfId="5" applyFont="1" applyFill="1" applyBorder="1"/>
    <xf numFmtId="2" fontId="8" fillId="11" borderId="21" xfId="5" applyNumberFormat="1" applyFont="1" applyFill="1" applyBorder="1"/>
    <xf numFmtId="0" fontId="28" fillId="11" borderId="58" xfId="5" applyFont="1" applyFill="1" applyBorder="1" applyAlignment="1">
      <alignment vertical="center"/>
    </xf>
    <xf numFmtId="0" fontId="28" fillId="11" borderId="39" xfId="5" applyFont="1" applyFill="1" applyBorder="1" applyAlignment="1">
      <alignment vertical="center"/>
    </xf>
    <xf numFmtId="0" fontId="28" fillId="11" borderId="1" xfId="5" applyFont="1" applyFill="1" applyBorder="1" applyAlignment="1">
      <alignment vertical="center"/>
    </xf>
    <xf numFmtId="0" fontId="28" fillId="11" borderId="59" xfId="5" applyFont="1" applyFill="1" applyBorder="1" applyAlignment="1">
      <alignment vertical="center"/>
    </xf>
    <xf numFmtId="0" fontId="25" fillId="0" borderId="39" xfId="5" applyFont="1" applyBorder="1" applyAlignment="1">
      <alignment horizontal="center"/>
    </xf>
    <xf numFmtId="0" fontId="25" fillId="0" borderId="31" xfId="5" applyFont="1" applyBorder="1" applyAlignment="1">
      <alignment horizontal="center"/>
    </xf>
    <xf numFmtId="2" fontId="3" fillId="0" borderId="21" xfId="5" applyNumberFormat="1" applyFont="1" applyBorder="1"/>
    <xf numFmtId="0" fontId="25" fillId="0" borderId="18" xfId="5" applyFont="1" applyBorder="1" applyAlignment="1">
      <alignment horizontal="center"/>
    </xf>
    <xf numFmtId="169" fontId="8" fillId="11" borderId="21" xfId="5" applyNumberFormat="1" applyFont="1" applyFill="1" applyBorder="1"/>
    <xf numFmtId="0" fontId="28" fillId="10" borderId="24" xfId="5" applyFont="1" applyFill="1" applyBorder="1"/>
    <xf numFmtId="0" fontId="28" fillId="10" borderId="60" xfId="5" applyFont="1" applyFill="1" applyBorder="1"/>
    <xf numFmtId="0" fontId="28" fillId="10" borderId="25" xfId="5" applyFont="1" applyFill="1" applyBorder="1" applyAlignment="1">
      <alignment horizontal="center"/>
    </xf>
    <xf numFmtId="0" fontId="28" fillId="10" borderId="25" xfId="5" applyFont="1" applyFill="1" applyBorder="1"/>
    <xf numFmtId="2" fontId="8" fillId="0" borderId="26" xfId="5" applyNumberFormat="1" applyFont="1" applyFill="1" applyBorder="1"/>
    <xf numFmtId="0" fontId="8" fillId="10" borderId="2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8" fillId="0" borderId="14" xfId="5" applyFont="1" applyBorder="1" applyAlignment="1">
      <alignment vertical="center" wrapText="1"/>
    </xf>
    <xf numFmtId="0" fontId="8" fillId="0" borderId="39" xfId="5" applyFont="1" applyBorder="1" applyAlignment="1">
      <alignment vertical="center" wrapText="1"/>
    </xf>
    <xf numFmtId="10" fontId="25" fillId="0" borderId="2" xfId="16" applyNumberFormat="1" applyFont="1" applyBorder="1" applyAlignment="1">
      <alignment horizontal="center" vertical="center"/>
    </xf>
    <xf numFmtId="10" fontId="25" fillId="0" borderId="0" xfId="16" applyNumberFormat="1" applyFont="1" applyFill="1" applyBorder="1" applyAlignment="1">
      <alignment horizontal="center" vertical="center"/>
    </xf>
    <xf numFmtId="10" fontId="8" fillId="7" borderId="2" xfId="5" applyNumberFormat="1" applyFont="1" applyFill="1" applyBorder="1" applyAlignment="1">
      <alignment horizontal="center"/>
    </xf>
    <xf numFmtId="10" fontId="8" fillId="0" borderId="0" xfId="5" applyNumberFormat="1" applyFont="1" applyFill="1" applyBorder="1" applyAlignment="1">
      <alignment horizontal="center"/>
    </xf>
    <xf numFmtId="10" fontId="25" fillId="0" borderId="0" xfId="5" applyNumberFormat="1" applyFont="1"/>
    <xf numFmtId="177" fontId="25" fillId="0" borderId="0" xfId="16" applyNumberFormat="1" applyFont="1"/>
    <xf numFmtId="166" fontId="44" fillId="10" borderId="14" xfId="0" applyNumberFormat="1" applyFont="1" applyFill="1" applyBorder="1" applyAlignment="1">
      <alignment vertical="center"/>
    </xf>
    <xf numFmtId="166" fontId="44" fillId="10" borderId="31" xfId="0" applyNumberFormat="1" applyFont="1" applyFill="1" applyBorder="1" applyAlignment="1">
      <alignment vertical="center"/>
    </xf>
    <xf numFmtId="166" fontId="12" fillId="15" borderId="14" xfId="0" applyNumberFormat="1" applyFont="1" applyFill="1" applyBorder="1" applyAlignment="1">
      <alignment vertical="center"/>
    </xf>
    <xf numFmtId="166" fontId="12" fillId="15" borderId="3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/>
    <xf numFmtId="3" fontId="13" fillId="0" borderId="0" xfId="0" applyNumberFormat="1" applyFont="1" applyFill="1" applyBorder="1" applyAlignment="1">
      <alignment horizontal="center" vertical="center"/>
    </xf>
    <xf numFmtId="170" fontId="25" fillId="0" borderId="0" xfId="0" applyNumberFormat="1" applyFont="1" applyAlignment="1">
      <alignment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167" fontId="28" fillId="5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justify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70" fontId="40" fillId="16" borderId="2" xfId="0" applyNumberFormat="1" applyFont="1" applyFill="1" applyBorder="1" applyAlignment="1">
      <alignment horizontal="center" vertical="center"/>
    </xf>
    <xf numFmtId="170" fontId="62" fillId="13" borderId="2" xfId="3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30" fillId="0" borderId="0" xfId="0" applyFont="1" applyAlignment="1">
      <alignment horizontal="left" vertical="top"/>
    </xf>
    <xf numFmtId="0" fontId="29" fillId="5" borderId="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62" fillId="0" borderId="2" xfId="0" applyFont="1" applyFill="1" applyBorder="1" applyAlignment="1">
      <alignment horizontal="left" vertical="center"/>
    </xf>
    <xf numFmtId="0" fontId="62" fillId="0" borderId="2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/>
    </xf>
    <xf numFmtId="187" fontId="62" fillId="0" borderId="2" xfId="18" applyNumberFormat="1" applyFont="1" applyFill="1" applyBorder="1" applyAlignment="1">
      <alignment horizontal="center" vertical="center"/>
    </xf>
    <xf numFmtId="44" fontId="62" fillId="0" borderId="2" xfId="18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4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9" fontId="43" fillId="0" borderId="2" xfId="0" applyNumberFormat="1" applyFont="1" applyBorder="1" applyAlignment="1">
      <alignment horizontal="center" vertical="center"/>
    </xf>
    <xf numFmtId="187" fontId="43" fillId="0" borderId="2" xfId="18" applyNumberFormat="1" applyFont="1" applyBorder="1" applyAlignment="1">
      <alignment vertical="center"/>
    </xf>
    <xf numFmtId="44" fontId="43" fillId="0" borderId="2" xfId="18" applyNumberFormat="1" applyFont="1" applyBorder="1" applyAlignment="1">
      <alignment vertical="center"/>
    </xf>
    <xf numFmtId="44" fontId="27" fillId="0" borderId="0" xfId="18" applyFont="1" applyFill="1" applyBorder="1" applyAlignment="1">
      <alignment vertical="center"/>
    </xf>
    <xf numFmtId="0" fontId="27" fillId="0" borderId="39" xfId="0" applyFont="1" applyBorder="1" applyAlignment="1">
      <alignment vertical="center"/>
    </xf>
    <xf numFmtId="44" fontId="37" fillId="10" borderId="2" xfId="18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87" fontId="27" fillId="0" borderId="0" xfId="18" applyNumberFormat="1" applyFont="1" applyBorder="1" applyAlignment="1">
      <alignment vertical="center"/>
    </xf>
    <xf numFmtId="44" fontId="27" fillId="0" borderId="0" xfId="18" applyNumberFormat="1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27" fillId="0" borderId="2" xfId="0" applyFont="1" applyBorder="1" applyAlignment="1">
      <alignment horizontal="justify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43" fillId="0" borderId="97" xfId="0" applyFont="1" applyFill="1" applyBorder="1" applyAlignment="1">
      <alignment vertical="center"/>
    </xf>
    <xf numFmtId="187" fontId="43" fillId="0" borderId="98" xfId="18" applyNumberFormat="1" applyFont="1" applyFill="1" applyBorder="1" applyAlignment="1">
      <alignment vertical="center"/>
    </xf>
    <xf numFmtId="44" fontId="37" fillId="0" borderId="18" xfId="18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67" fillId="0" borderId="14" xfId="0" applyFont="1" applyBorder="1" applyAlignment="1">
      <alignment vertical="center" wrapText="1"/>
    </xf>
    <xf numFmtId="10" fontId="27" fillId="0" borderId="2" xfId="19" applyNumberFormat="1" applyFont="1" applyBorder="1" applyAlignment="1">
      <alignment horizontal="center" vertical="center"/>
    </xf>
    <xf numFmtId="44" fontId="43" fillId="0" borderId="18" xfId="18" applyNumberFormat="1" applyFont="1" applyFill="1" applyBorder="1" applyAlignment="1">
      <alignment vertical="center"/>
    </xf>
    <xf numFmtId="10" fontId="27" fillId="0" borderId="0" xfId="17" applyNumberFormat="1" applyFont="1" applyFill="1" applyBorder="1" applyAlignment="1">
      <alignment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39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/>
    </xf>
    <xf numFmtId="44" fontId="62" fillId="0" borderId="31" xfId="18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43" fillId="0" borderId="39" xfId="0" applyFont="1" applyBorder="1" applyAlignment="1">
      <alignment horizontal="center" vertical="center" wrapText="1"/>
    </xf>
    <xf numFmtId="177" fontId="43" fillId="0" borderId="39" xfId="0" applyNumberFormat="1" applyFont="1" applyBorder="1" applyAlignment="1">
      <alignment horizontal="center" vertical="center"/>
    </xf>
    <xf numFmtId="9" fontId="43" fillId="0" borderId="39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9" fontId="27" fillId="0" borderId="39" xfId="0" applyNumberFormat="1" applyFont="1" applyBorder="1" applyAlignment="1">
      <alignment horizontal="center" vertical="center"/>
    </xf>
    <xf numFmtId="9" fontId="27" fillId="0" borderId="31" xfId="0" applyNumberFormat="1" applyFont="1" applyBorder="1" applyAlignment="1">
      <alignment horizontal="center" vertical="center"/>
    </xf>
    <xf numFmtId="187" fontId="27" fillId="0" borderId="2" xfId="18" applyNumberFormat="1" applyFont="1" applyBorder="1" applyAlignment="1">
      <alignment vertical="center"/>
    </xf>
    <xf numFmtId="44" fontId="27" fillId="0" borderId="2" xfId="18" applyNumberFormat="1" applyFont="1" applyBorder="1" applyAlignment="1">
      <alignment vertical="center"/>
    </xf>
    <xf numFmtId="44" fontId="26" fillId="10" borderId="2" xfId="18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187" fontId="27" fillId="0" borderId="0" xfId="18" applyNumberFormat="1" applyFont="1" applyFill="1" applyBorder="1" applyAlignment="1">
      <alignment vertical="center"/>
    </xf>
    <xf numFmtId="44" fontId="27" fillId="0" borderId="0" xfId="18" applyNumberFormat="1" applyFont="1" applyFill="1" applyBorder="1" applyAlignment="1">
      <alignment vertical="center"/>
    </xf>
    <xf numFmtId="188" fontId="27" fillId="0" borderId="0" xfId="17" applyNumberFormat="1" applyFont="1" applyFill="1" applyBorder="1" applyAlignment="1">
      <alignment vertical="center"/>
    </xf>
    <xf numFmtId="187" fontId="11" fillId="0" borderId="0" xfId="18" applyNumberFormat="1" applyFont="1" applyFill="1" applyBorder="1" applyAlignment="1">
      <alignment vertical="center"/>
    </xf>
    <xf numFmtId="44" fontId="11" fillId="0" borderId="0" xfId="18" applyNumberFormat="1" applyFont="1" applyFill="1" applyBorder="1" applyAlignment="1">
      <alignment vertical="center"/>
    </xf>
    <xf numFmtId="188" fontId="11" fillId="0" borderId="0" xfId="17" applyNumberFormat="1" applyFont="1" applyFill="1" applyBorder="1" applyAlignment="1">
      <alignment vertical="center"/>
    </xf>
    <xf numFmtId="44" fontId="65" fillId="0" borderId="0" xfId="18" applyNumberFormat="1" applyFont="1" applyFill="1" applyBorder="1" applyAlignment="1">
      <alignment vertical="center"/>
    </xf>
    <xf numFmtId="188" fontId="65" fillId="0" borderId="0" xfId="17" applyNumberFormat="1" applyFont="1" applyFill="1" applyBorder="1" applyAlignment="1">
      <alignment vertical="center"/>
    </xf>
    <xf numFmtId="0" fontId="62" fillId="10" borderId="2" xfId="0" applyFont="1" applyFill="1" applyBorder="1" applyAlignment="1">
      <alignment horizontal="left" vertical="center"/>
    </xf>
    <xf numFmtId="0" fontId="62" fillId="10" borderId="2" xfId="0" applyFont="1" applyFill="1" applyBorder="1" applyAlignment="1">
      <alignment horizontal="center" vertical="center" wrapText="1"/>
    </xf>
    <xf numFmtId="0" fontId="62" fillId="10" borderId="2" xfId="0" applyFont="1" applyFill="1" applyBorder="1" applyAlignment="1">
      <alignment horizontal="center" vertical="center"/>
    </xf>
    <xf numFmtId="187" fontId="62" fillId="10" borderId="2" xfId="18" applyNumberFormat="1" applyFont="1" applyFill="1" applyBorder="1" applyAlignment="1">
      <alignment horizontal="center" vertical="center"/>
    </xf>
    <xf numFmtId="44" fontId="62" fillId="10" borderId="2" xfId="18" applyNumberFormat="1" applyFont="1" applyFill="1" applyBorder="1" applyAlignment="1">
      <alignment horizontal="center" vertical="center"/>
    </xf>
    <xf numFmtId="0" fontId="44" fillId="10" borderId="2" xfId="0" applyFont="1" applyFill="1" applyBorder="1" applyAlignment="1">
      <alignment horizontal="center" vertical="center" wrapText="1"/>
    </xf>
    <xf numFmtId="187" fontId="44" fillId="10" borderId="2" xfId="18" applyNumberFormat="1" applyFont="1" applyFill="1" applyBorder="1" applyAlignment="1">
      <alignment horizontal="center" vertical="center" wrapText="1"/>
    </xf>
    <xf numFmtId="44" fontId="44" fillId="10" borderId="2" xfId="18" applyNumberFormat="1" applyFont="1" applyFill="1" applyBorder="1" applyAlignment="1">
      <alignment horizontal="center" vertical="center" wrapText="1"/>
    </xf>
    <xf numFmtId="188" fontId="44" fillId="10" borderId="2" xfId="17" applyNumberFormat="1" applyFont="1" applyFill="1" applyBorder="1" applyAlignment="1">
      <alignment horizontal="center" vertical="center" wrapText="1"/>
    </xf>
    <xf numFmtId="188" fontId="27" fillId="0" borderId="99" xfId="17" applyNumberFormat="1" applyFont="1" applyFill="1" applyBorder="1" applyAlignment="1">
      <alignment vertical="center"/>
    </xf>
    <xf numFmtId="0" fontId="43" fillId="0" borderId="2" xfId="0" applyFont="1" applyBorder="1" applyAlignment="1">
      <alignment horizontal="left" vertical="center"/>
    </xf>
    <xf numFmtId="188" fontId="27" fillId="0" borderId="99" xfId="17" applyNumberFormat="1" applyFont="1" applyBorder="1" applyAlignment="1">
      <alignment vertical="center"/>
    </xf>
    <xf numFmtId="0" fontId="32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88" fontId="43" fillId="0" borderId="99" xfId="17" applyNumberFormat="1" applyFont="1" applyBorder="1" applyAlignment="1">
      <alignment vertical="center"/>
    </xf>
    <xf numFmtId="10" fontId="68" fillId="0" borderId="99" xfId="17" applyNumberFormat="1" applyFont="1" applyBorder="1" applyAlignment="1">
      <alignment vertical="center"/>
    </xf>
    <xf numFmtId="10" fontId="68" fillId="0" borderId="99" xfId="17" applyNumberFormat="1" applyFont="1" applyFill="1" applyBorder="1" applyAlignment="1">
      <alignment vertical="center"/>
    </xf>
    <xf numFmtId="10" fontId="36" fillId="10" borderId="2" xfId="17" applyNumberFormat="1" applyFont="1" applyFill="1" applyBorder="1" applyAlignment="1">
      <alignment horizontal="center" vertical="center"/>
    </xf>
    <xf numFmtId="10" fontId="70" fillId="10" borderId="2" xfId="17" applyNumberFormat="1" applyFont="1" applyFill="1" applyBorder="1" applyAlignment="1">
      <alignment vertical="center"/>
    </xf>
    <xf numFmtId="44" fontId="26" fillId="10" borderId="18" xfId="18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3" fontId="18" fillId="5" borderId="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71" fillId="0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166" fontId="32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/>
    </xf>
    <xf numFmtId="0" fontId="44" fillId="10" borderId="100" xfId="0" applyFont="1" applyFill="1" applyBorder="1" applyAlignment="1">
      <alignment horizontal="center" vertical="center" wrapText="1"/>
    </xf>
    <xf numFmtId="0" fontId="44" fillId="10" borderId="18" xfId="0" applyFont="1" applyFill="1" applyBorder="1" applyAlignment="1">
      <alignment horizontal="center" vertical="center" wrapText="1"/>
    </xf>
    <xf numFmtId="187" fontId="44" fillId="10" borderId="18" xfId="18" applyNumberFormat="1" applyFont="1" applyFill="1" applyBorder="1" applyAlignment="1">
      <alignment horizontal="center" vertical="center" wrapText="1"/>
    </xf>
    <xf numFmtId="188" fontId="44" fillId="10" borderId="101" xfId="17" applyNumberFormat="1" applyFont="1" applyFill="1" applyBorder="1" applyAlignment="1">
      <alignment horizontal="center" vertical="center" wrapText="1"/>
    </xf>
    <xf numFmtId="0" fontId="62" fillId="0" borderId="61" xfId="0" applyFont="1" applyFill="1" applyBorder="1" applyAlignment="1">
      <alignment horizontal="left" vertical="center"/>
    </xf>
    <xf numFmtId="188" fontId="27" fillId="0" borderId="79" xfId="17" applyNumberFormat="1" applyFont="1" applyFill="1" applyBorder="1" applyAlignment="1">
      <alignment vertical="center"/>
    </xf>
    <xf numFmtId="0" fontId="43" fillId="0" borderId="61" xfId="0" applyFont="1" applyBorder="1" applyAlignment="1">
      <alignment horizontal="left" vertical="center"/>
    </xf>
    <xf numFmtId="188" fontId="27" fillId="0" borderId="79" xfId="17" applyNumberFormat="1" applyFont="1" applyBorder="1" applyAlignment="1">
      <alignment vertical="center"/>
    </xf>
    <xf numFmtId="10" fontId="36" fillId="0" borderId="99" xfId="17" applyNumberFormat="1" applyFont="1" applyFill="1" applyBorder="1" applyAlignment="1">
      <alignment horizontal="center" vertical="center"/>
    </xf>
    <xf numFmtId="0" fontId="32" fillId="0" borderId="78" xfId="0" applyFont="1" applyBorder="1" applyAlignment="1">
      <alignment horizontal="left" vertical="center"/>
    </xf>
    <xf numFmtId="0" fontId="27" fillId="0" borderId="78" xfId="0" applyFont="1" applyBorder="1" applyAlignment="1">
      <alignment horizontal="left" vertical="center"/>
    </xf>
    <xf numFmtId="0" fontId="44" fillId="10" borderId="61" xfId="0" applyFont="1" applyFill="1" applyBorder="1" applyAlignment="1">
      <alignment horizontal="center" vertical="center"/>
    </xf>
    <xf numFmtId="0" fontId="44" fillId="10" borderId="2" xfId="0" applyFont="1" applyFill="1" applyBorder="1" applyAlignment="1">
      <alignment horizontal="center" vertical="center"/>
    </xf>
    <xf numFmtId="187" fontId="44" fillId="10" borderId="2" xfId="18" applyNumberFormat="1" applyFont="1" applyFill="1" applyBorder="1" applyAlignment="1">
      <alignment horizontal="center" vertical="center"/>
    </xf>
    <xf numFmtId="188" fontId="44" fillId="0" borderId="99" xfId="17" applyNumberFormat="1" applyFont="1" applyFill="1" applyBorder="1" applyAlignment="1">
      <alignment horizontal="center" vertical="center" wrapText="1"/>
    </xf>
    <xf numFmtId="0" fontId="27" fillId="0" borderId="61" xfId="0" applyFont="1" applyBorder="1" applyAlignment="1">
      <alignment horizontal="left" vertical="center"/>
    </xf>
    <xf numFmtId="10" fontId="36" fillId="0" borderId="29" xfId="17" applyNumberFormat="1" applyFont="1" applyFill="1" applyBorder="1" applyAlignment="1">
      <alignment horizontal="center" vertical="center"/>
    </xf>
    <xf numFmtId="0" fontId="44" fillId="10" borderId="61" xfId="0" applyFont="1" applyFill="1" applyBorder="1" applyAlignment="1">
      <alignment horizontal="left" vertical="center"/>
    </xf>
    <xf numFmtId="0" fontId="44" fillId="10" borderId="14" xfId="0" applyFont="1" applyFill="1" applyBorder="1" applyAlignment="1">
      <alignment horizontal="center" vertical="center"/>
    </xf>
    <xf numFmtId="0" fontId="44" fillId="10" borderId="39" xfId="0" applyFont="1" applyFill="1" applyBorder="1" applyAlignment="1">
      <alignment horizontal="center" vertical="center" wrapText="1"/>
    </xf>
    <xf numFmtId="0" fontId="44" fillId="10" borderId="39" xfId="0" applyFont="1" applyFill="1" applyBorder="1" applyAlignment="1">
      <alignment horizontal="center" vertical="center"/>
    </xf>
    <xf numFmtId="187" fontId="44" fillId="10" borderId="39" xfId="18" applyNumberFormat="1" applyFont="1" applyFill="1" applyBorder="1" applyAlignment="1">
      <alignment horizontal="center" vertical="center"/>
    </xf>
    <xf numFmtId="188" fontId="44" fillId="10" borderId="13" xfId="17" applyNumberFormat="1" applyFont="1" applyFill="1" applyBorder="1" applyAlignment="1">
      <alignment horizontal="center" vertical="center" wrapText="1"/>
    </xf>
    <xf numFmtId="0" fontId="43" fillId="0" borderId="100" xfId="0" applyFont="1" applyBorder="1" applyAlignment="1">
      <alignment horizontal="left" vertical="center"/>
    </xf>
    <xf numFmtId="188" fontId="43" fillId="0" borderId="79" xfId="17" applyNumberFormat="1" applyFont="1" applyBorder="1" applyAlignment="1">
      <alignment vertical="center"/>
    </xf>
    <xf numFmtId="10" fontId="36" fillId="0" borderId="29" xfId="17" applyNumberFormat="1" applyFont="1" applyBorder="1" applyAlignment="1">
      <alignment horizontal="center" vertical="center"/>
    </xf>
    <xf numFmtId="10" fontId="68" fillId="0" borderId="79" xfId="17" applyNumberFormat="1" applyFont="1" applyBorder="1" applyAlignment="1">
      <alignment vertical="center"/>
    </xf>
    <xf numFmtId="10" fontId="68" fillId="0" borderId="79" xfId="17" applyNumberFormat="1" applyFont="1" applyFill="1" applyBorder="1" applyAlignment="1">
      <alignment vertical="center"/>
    </xf>
    <xf numFmtId="0" fontId="27" fillId="0" borderId="100" xfId="0" applyFont="1" applyBorder="1" applyAlignment="1">
      <alignment horizontal="left" vertical="center"/>
    </xf>
    <xf numFmtId="0" fontId="27" fillId="0" borderId="16" xfId="0" applyFont="1" applyBorder="1" applyAlignment="1">
      <alignment vertical="center"/>
    </xf>
    <xf numFmtId="0" fontId="27" fillId="0" borderId="97" xfId="0" applyFont="1" applyBorder="1" applyAlignment="1">
      <alignment horizontal="center" vertical="center" wrapText="1"/>
    </xf>
    <xf numFmtId="9" fontId="27" fillId="0" borderId="97" xfId="0" applyNumberFormat="1" applyFont="1" applyBorder="1" applyAlignment="1">
      <alignment horizontal="center" vertical="center"/>
    </xf>
    <xf numFmtId="9" fontId="27" fillId="0" borderId="98" xfId="0" applyNumberFormat="1" applyFont="1" applyBorder="1" applyAlignment="1">
      <alignment horizontal="center" vertical="center"/>
    </xf>
    <xf numFmtId="187" fontId="27" fillId="0" borderId="18" xfId="18" applyNumberFormat="1" applyFont="1" applyBorder="1" applyAlignment="1">
      <alignment vertical="center"/>
    </xf>
    <xf numFmtId="10" fontId="36" fillId="0" borderId="15" xfId="17" applyNumberFormat="1" applyFont="1" applyBorder="1" applyAlignment="1">
      <alignment horizontal="center" vertical="center"/>
    </xf>
    <xf numFmtId="166" fontId="29" fillId="0" borderId="2" xfId="5" applyNumberFormat="1" applyFont="1" applyFill="1" applyBorder="1" applyAlignment="1">
      <alignment horizontal="center" vertical="center"/>
    </xf>
    <xf numFmtId="166" fontId="29" fillId="0" borderId="2" xfId="5" applyNumberFormat="1" applyFont="1" applyFill="1" applyBorder="1" applyAlignment="1">
      <alignment horizontal="center" vertical="center" wrapText="1"/>
    </xf>
    <xf numFmtId="179" fontId="12" fillId="0" borderId="2" xfId="0" applyNumberFormat="1" applyFont="1" applyFill="1" applyBorder="1" applyAlignment="1">
      <alignment horizontal="center" vertical="center"/>
    </xf>
    <xf numFmtId="166" fontId="28" fillId="6" borderId="2" xfId="0" applyNumberFormat="1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 wrapText="1"/>
    </xf>
    <xf numFmtId="188" fontId="27" fillId="10" borderId="99" xfId="17" applyNumberFormat="1" applyFont="1" applyFill="1" applyBorder="1" applyAlignment="1">
      <alignment vertical="center"/>
    </xf>
    <xf numFmtId="188" fontId="27" fillId="10" borderId="98" xfId="1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187" fontId="65" fillId="0" borderId="0" xfId="18" applyNumberFormat="1" applyFont="1" applyFill="1" applyBorder="1" applyAlignment="1">
      <alignment vertical="center"/>
    </xf>
    <xf numFmtId="0" fontId="62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26" fillId="0" borderId="0" xfId="0" applyNumberFormat="1" applyFont="1" applyAlignment="1">
      <alignment horizontal="center"/>
    </xf>
    <xf numFmtId="0" fontId="69" fillId="0" borderId="0" xfId="0" applyNumberFormat="1" applyFont="1" applyAlignment="1">
      <alignment horizontal="center" vertical="center"/>
    </xf>
    <xf numFmtId="170" fontId="25" fillId="0" borderId="0" xfId="0" applyNumberFormat="1" applyFont="1" applyFill="1" applyAlignment="1">
      <alignment horizontal="left" vertical="center" wrapText="1"/>
    </xf>
    <xf numFmtId="0" fontId="29" fillId="5" borderId="2" xfId="0" applyNumberFormat="1" applyFont="1" applyFill="1" applyBorder="1" applyAlignment="1">
      <alignment horizontal="center" vertical="center"/>
    </xf>
    <xf numFmtId="167" fontId="29" fillId="5" borderId="2" xfId="0" applyNumberFormat="1" applyFont="1" applyFill="1" applyBorder="1" applyAlignment="1">
      <alignment horizontal="center" vertical="center" wrapText="1"/>
    </xf>
    <xf numFmtId="166" fontId="30" fillId="17" borderId="2" xfId="0" applyNumberFormat="1" applyFont="1" applyFill="1" applyBorder="1" applyAlignment="1">
      <alignment vertical="center"/>
    </xf>
    <xf numFmtId="166" fontId="28" fillId="6" borderId="2" xfId="0" applyNumberFormat="1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166" fontId="69" fillId="0" borderId="0" xfId="0" applyNumberFormat="1" applyFont="1" applyAlignment="1">
      <alignment horizontal="center" vertical="center" wrapText="1"/>
    </xf>
    <xf numFmtId="0" fontId="69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vertical="center" wrapText="1"/>
    </xf>
    <xf numFmtId="0" fontId="75" fillId="0" borderId="0" xfId="0" applyFont="1" applyAlignment="1">
      <alignment vertical="center"/>
    </xf>
    <xf numFmtId="0" fontId="37" fillId="0" borderId="0" xfId="0" applyNumberFormat="1" applyFont="1" applyAlignment="1">
      <alignment horizontal="center" vertical="center"/>
    </xf>
    <xf numFmtId="0" fontId="37" fillId="14" borderId="2" xfId="0" applyFont="1" applyFill="1" applyBorder="1" applyAlignment="1">
      <alignment horizontal="left" vertical="center" wrapText="1"/>
    </xf>
    <xf numFmtId="0" fontId="39" fillId="13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37" fillId="13" borderId="2" xfId="0" applyFont="1" applyFill="1" applyBorder="1" applyAlignment="1">
      <alignment horizontal="left" vertical="center" wrapText="1"/>
    </xf>
    <xf numFmtId="0" fontId="28" fillId="6" borderId="2" xfId="5" applyFont="1" applyFill="1" applyBorder="1" applyAlignment="1">
      <alignment vertical="center" wrapText="1"/>
    </xf>
    <xf numFmtId="0" fontId="62" fillId="5" borderId="2" xfId="0" applyFont="1" applyFill="1" applyBorder="1" applyAlignment="1">
      <alignment horizontal="justify" vertical="center" wrapText="1"/>
    </xf>
    <xf numFmtId="0" fontId="29" fillId="10" borderId="2" xfId="5" applyFont="1" applyFill="1" applyBorder="1" applyAlignment="1">
      <alignment horizontal="right" vertical="center"/>
    </xf>
    <xf numFmtId="166" fontId="29" fillId="10" borderId="2" xfId="5" applyNumberFormat="1" applyFont="1" applyFill="1" applyBorder="1" applyAlignment="1">
      <alignment horizontal="right" vertical="center"/>
    </xf>
    <xf numFmtId="0" fontId="62" fillId="5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right" vertical="center" wrapText="1"/>
    </xf>
    <xf numFmtId="166" fontId="37" fillId="6" borderId="2" xfId="0" applyNumberFormat="1" applyFont="1" applyFill="1" applyBorder="1" applyAlignment="1">
      <alignment horizontal="right" vertical="center"/>
    </xf>
    <xf numFmtId="178" fontId="29" fillId="10" borderId="2" xfId="5" applyNumberFormat="1" applyFont="1" applyFill="1" applyBorder="1" applyAlignment="1">
      <alignment horizontal="right" vertical="center"/>
    </xf>
    <xf numFmtId="166" fontId="28" fillId="6" borderId="2" xfId="0" applyNumberFormat="1" applyFont="1" applyFill="1" applyBorder="1" applyAlignment="1">
      <alignment horizontal="center" vertical="center"/>
    </xf>
    <xf numFmtId="0" fontId="26" fillId="13" borderId="2" xfId="0" applyFont="1" applyFill="1" applyBorder="1" applyAlignment="1">
      <alignment horizontal="right" vertical="center" wrapText="1"/>
    </xf>
    <xf numFmtId="166" fontId="36" fillId="13" borderId="2" xfId="0" applyNumberFormat="1" applyFont="1" applyFill="1" applyBorder="1" applyAlignment="1">
      <alignment horizontal="center" vertical="center"/>
    </xf>
    <xf numFmtId="170" fontId="40" fillId="13" borderId="2" xfId="0" applyNumberFormat="1" applyFont="1" applyFill="1" applyBorder="1" applyAlignment="1">
      <alignment horizontal="right" vertical="center"/>
    </xf>
    <xf numFmtId="170" fontId="44" fillId="16" borderId="2" xfId="0" applyNumberFormat="1" applyFont="1" applyFill="1" applyBorder="1" applyAlignment="1">
      <alignment horizontal="right" vertical="center"/>
    </xf>
    <xf numFmtId="0" fontId="9" fillId="13" borderId="2" xfId="0" applyFont="1" applyFill="1" applyBorder="1" applyAlignment="1">
      <alignment horizontal="center" vertical="center" wrapText="1"/>
    </xf>
    <xf numFmtId="3" fontId="9" fillId="13" borderId="2" xfId="0" applyNumberFormat="1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left" vertical="center" wrapText="1"/>
    </xf>
    <xf numFmtId="0" fontId="7" fillId="13" borderId="39" xfId="0" applyFont="1" applyFill="1" applyBorder="1" applyAlignment="1">
      <alignment horizontal="left" vertical="center" wrapText="1"/>
    </xf>
    <xf numFmtId="0" fontId="7" fillId="13" borderId="31" xfId="0" applyFont="1" applyFill="1" applyBorder="1" applyAlignment="1">
      <alignment horizontal="left" vertical="center" wrapText="1"/>
    </xf>
    <xf numFmtId="0" fontId="26" fillId="13" borderId="2" xfId="0" applyFont="1" applyFill="1" applyBorder="1" applyAlignment="1">
      <alignment horizontal="center" vertical="center" wrapText="1"/>
    </xf>
    <xf numFmtId="0" fontId="52" fillId="13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left" vertical="center" wrapText="1"/>
    </xf>
    <xf numFmtId="3" fontId="55" fillId="13" borderId="2" xfId="0" applyNumberFormat="1" applyFont="1" applyFill="1" applyBorder="1" applyAlignment="1">
      <alignment horizontal="right" vertical="center" wrapText="1"/>
    </xf>
    <xf numFmtId="166" fontId="28" fillId="13" borderId="2" xfId="0" applyNumberFormat="1" applyFont="1" applyFill="1" applyBorder="1" applyAlignment="1">
      <alignment horizontal="center" vertical="center"/>
    </xf>
    <xf numFmtId="0" fontId="6" fillId="10" borderId="2" xfId="20" applyNumberFormat="1" applyFont="1" applyFill="1" applyBorder="1" applyAlignment="1">
      <alignment horizontal="center" vertical="center" wrapText="1"/>
    </xf>
    <xf numFmtId="166" fontId="37" fillId="10" borderId="2" xfId="0" applyNumberFormat="1" applyFont="1" applyFill="1" applyBorder="1" applyAlignment="1">
      <alignment horizontal="center" vertical="center"/>
    </xf>
    <xf numFmtId="0" fontId="62" fillId="6" borderId="2" xfId="0" applyFont="1" applyFill="1" applyBorder="1" applyAlignment="1">
      <alignment horizontal="justify" vertical="center" wrapText="1"/>
    </xf>
    <xf numFmtId="166" fontId="30" fillId="17" borderId="14" xfId="0" applyNumberFormat="1" applyFont="1" applyFill="1" applyBorder="1" applyAlignment="1">
      <alignment horizontal="center" vertical="center"/>
    </xf>
    <xf numFmtId="166" fontId="30" fillId="17" borderId="39" xfId="0" applyNumberFormat="1" applyFont="1" applyFill="1" applyBorder="1" applyAlignment="1">
      <alignment horizontal="center" vertical="center"/>
    </xf>
    <xf numFmtId="166" fontId="30" fillId="17" borderId="31" xfId="0" applyNumberFormat="1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justify" vertical="center" wrapText="1"/>
    </xf>
    <xf numFmtId="166" fontId="4" fillId="10" borderId="2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justify" vertical="center" wrapText="1"/>
    </xf>
    <xf numFmtId="0" fontId="4" fillId="10" borderId="2" xfId="0" applyFont="1" applyFill="1" applyBorder="1" applyAlignment="1">
      <alignment horizontal="center"/>
    </xf>
    <xf numFmtId="166" fontId="4" fillId="10" borderId="14" xfId="0" applyNumberFormat="1" applyFont="1" applyFill="1" applyBorder="1" applyAlignment="1">
      <alignment horizontal="center" vertical="center"/>
    </xf>
    <xf numFmtId="170" fontId="4" fillId="10" borderId="2" xfId="0" applyNumberFormat="1" applyFont="1" applyFill="1" applyBorder="1" applyAlignment="1">
      <alignment horizontal="center" vertical="center"/>
    </xf>
    <xf numFmtId="166" fontId="4" fillId="10" borderId="22" xfId="0" applyNumberFormat="1" applyFont="1" applyFill="1" applyBorder="1" applyAlignment="1">
      <alignment horizontal="center" vertical="center"/>
    </xf>
    <xf numFmtId="0" fontId="74" fillId="13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wrapText="1"/>
    </xf>
    <xf numFmtId="0" fontId="4" fillId="10" borderId="31" xfId="0" applyFont="1" applyFill="1" applyBorder="1" applyAlignment="1">
      <alignment horizontal="center" wrapText="1"/>
    </xf>
    <xf numFmtId="0" fontId="12" fillId="15" borderId="2" xfId="0" applyFont="1" applyFill="1" applyBorder="1" applyAlignment="1">
      <alignment horizontal="center"/>
    </xf>
    <xf numFmtId="0" fontId="12" fillId="15" borderId="14" xfId="0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166" fontId="12" fillId="15" borderId="2" xfId="0" applyNumberFormat="1" applyFont="1" applyFill="1" applyBorder="1" applyAlignment="1">
      <alignment horizontal="center" vertical="center"/>
    </xf>
    <xf numFmtId="166" fontId="12" fillId="15" borderId="22" xfId="0" applyNumberFormat="1" applyFont="1" applyFill="1" applyBorder="1" applyAlignment="1">
      <alignment horizontal="center" vertical="center"/>
    </xf>
    <xf numFmtId="0" fontId="52" fillId="13" borderId="14" xfId="0" applyFont="1" applyFill="1" applyBorder="1" applyAlignment="1">
      <alignment horizontal="center" vertical="center" wrapText="1"/>
    </xf>
    <xf numFmtId="0" fontId="52" fillId="13" borderId="39" xfId="0" applyFont="1" applyFill="1" applyBorder="1" applyAlignment="1">
      <alignment horizontal="center" vertical="center" wrapText="1"/>
    </xf>
    <xf numFmtId="0" fontId="52" fillId="13" borderId="31" xfId="0" applyFont="1" applyFill="1" applyBorder="1" applyAlignment="1">
      <alignment horizontal="center" vertical="center" wrapText="1"/>
    </xf>
    <xf numFmtId="0" fontId="30" fillId="10" borderId="14" xfId="0" applyFont="1" applyFill="1" applyBorder="1" applyAlignment="1">
      <alignment horizontal="center" vertical="center" wrapText="1"/>
    </xf>
    <xf numFmtId="0" fontId="30" fillId="10" borderId="39" xfId="0" applyFont="1" applyFill="1" applyBorder="1" applyAlignment="1">
      <alignment horizontal="center" vertical="center" wrapText="1"/>
    </xf>
    <xf numFmtId="0" fontId="30" fillId="10" borderId="31" xfId="0" applyFont="1" applyFill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left" vertical="center" wrapText="1"/>
    </xf>
    <xf numFmtId="0" fontId="28" fillId="10" borderId="39" xfId="0" applyFont="1" applyFill="1" applyBorder="1" applyAlignment="1">
      <alignment horizontal="left" vertical="center" wrapText="1"/>
    </xf>
    <xf numFmtId="0" fontId="28" fillId="10" borderId="31" xfId="0" applyFont="1" applyFill="1" applyBorder="1" applyAlignment="1">
      <alignment horizontal="left" vertical="center" wrapText="1"/>
    </xf>
    <xf numFmtId="0" fontId="7" fillId="13" borderId="14" xfId="0" applyFont="1" applyFill="1" applyBorder="1" applyAlignment="1">
      <alignment horizontal="justify" vertical="center" wrapText="1"/>
    </xf>
    <xf numFmtId="0" fontId="7" fillId="13" borderId="39" xfId="0" applyFont="1" applyFill="1" applyBorder="1" applyAlignment="1">
      <alignment horizontal="justify" vertical="center" wrapText="1"/>
    </xf>
    <xf numFmtId="0" fontId="7" fillId="13" borderId="31" xfId="0" applyFont="1" applyFill="1" applyBorder="1" applyAlignment="1">
      <alignment horizontal="justify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7" fillId="6" borderId="39" xfId="0" applyFont="1" applyFill="1" applyBorder="1" applyAlignment="1">
      <alignment horizontal="center" vertical="center" wrapText="1"/>
    </xf>
    <xf numFmtId="0" fontId="37" fillId="6" borderId="31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8" fillId="9" borderId="14" xfId="0" applyFont="1" applyFill="1" applyBorder="1" applyAlignment="1">
      <alignment horizontal="center" vertical="center" wrapText="1"/>
    </xf>
    <xf numFmtId="0" fontId="28" fillId="9" borderId="39" xfId="0" applyFont="1" applyFill="1" applyBorder="1" applyAlignment="1">
      <alignment horizontal="center" vertical="center" wrapText="1"/>
    </xf>
    <xf numFmtId="0" fontId="28" fillId="9" borderId="31" xfId="0" applyFont="1" applyFill="1" applyBorder="1" applyAlignment="1">
      <alignment horizontal="center" vertical="center" wrapText="1"/>
    </xf>
    <xf numFmtId="166" fontId="28" fillId="9" borderId="14" xfId="0" applyNumberFormat="1" applyFont="1" applyFill="1" applyBorder="1" applyAlignment="1">
      <alignment horizontal="center" vertical="center" wrapText="1"/>
    </xf>
    <xf numFmtId="166" fontId="28" fillId="9" borderId="39" xfId="0" applyNumberFormat="1" applyFont="1" applyFill="1" applyBorder="1" applyAlignment="1">
      <alignment horizontal="center" vertical="center" wrapText="1"/>
    </xf>
    <xf numFmtId="166" fontId="28" fillId="9" borderId="31" xfId="0" applyNumberFormat="1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36" fillId="10" borderId="39" xfId="0" applyFont="1" applyFill="1" applyBorder="1" applyAlignment="1">
      <alignment horizontal="center" vertical="center"/>
    </xf>
    <xf numFmtId="0" fontId="36" fillId="10" borderId="31" xfId="0" applyFont="1" applyFill="1" applyBorder="1" applyAlignment="1">
      <alignment horizontal="center" vertical="center"/>
    </xf>
    <xf numFmtId="0" fontId="37" fillId="10" borderId="66" xfId="0" applyFont="1" applyFill="1" applyBorder="1" applyAlignment="1">
      <alignment horizontal="right" vertical="center"/>
    </xf>
    <xf numFmtId="0" fontId="37" fillId="10" borderId="39" xfId="0" applyFont="1" applyFill="1" applyBorder="1" applyAlignment="1">
      <alignment horizontal="right" vertical="center"/>
    </xf>
    <xf numFmtId="0" fontId="37" fillId="10" borderId="31" xfId="0" applyFont="1" applyFill="1" applyBorder="1" applyAlignment="1">
      <alignment horizontal="right" vertical="center"/>
    </xf>
    <xf numFmtId="0" fontId="37" fillId="10" borderId="64" xfId="0" applyFont="1" applyFill="1" applyBorder="1" applyAlignment="1">
      <alignment horizontal="right" vertical="center"/>
    </xf>
    <xf numFmtId="0" fontId="37" fillId="10" borderId="85" xfId="0" applyFont="1" applyFill="1" applyBorder="1" applyAlignment="1">
      <alignment horizontal="right" vertical="center"/>
    </xf>
    <xf numFmtId="0" fontId="37" fillId="10" borderId="65" xfId="0" applyFont="1" applyFill="1" applyBorder="1" applyAlignment="1">
      <alignment horizontal="right" vertical="center"/>
    </xf>
    <xf numFmtId="0" fontId="10" fillId="10" borderId="75" xfId="0" applyFont="1" applyFill="1" applyBorder="1" applyAlignment="1">
      <alignment horizontal="center" vertical="center"/>
    </xf>
    <xf numFmtId="0" fontId="10" fillId="10" borderId="76" xfId="0" applyFont="1" applyFill="1" applyBorder="1" applyAlignment="1">
      <alignment horizontal="center" vertical="center"/>
    </xf>
    <xf numFmtId="0" fontId="10" fillId="10" borderId="77" xfId="0" applyFont="1" applyFill="1" applyBorder="1" applyAlignment="1">
      <alignment horizontal="center" vertical="center"/>
    </xf>
    <xf numFmtId="0" fontId="37" fillId="10" borderId="62" xfId="0" applyFont="1" applyFill="1" applyBorder="1" applyAlignment="1">
      <alignment horizontal="right" vertical="center"/>
    </xf>
    <xf numFmtId="0" fontId="37" fillId="10" borderId="27" xfId="0" applyFont="1" applyFill="1" applyBorder="1" applyAlignment="1">
      <alignment horizontal="right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0" fontId="37" fillId="10" borderId="61" xfId="0" applyFont="1" applyFill="1" applyBorder="1" applyAlignment="1">
      <alignment horizontal="right" vertical="center"/>
    </xf>
    <xf numFmtId="0" fontId="37" fillId="10" borderId="2" xfId="0" applyFont="1" applyFill="1" applyBorder="1" applyAlignment="1">
      <alignment horizontal="right" vertical="center"/>
    </xf>
    <xf numFmtId="0" fontId="37" fillId="10" borderId="16" xfId="0" applyFont="1" applyFill="1" applyBorder="1" applyAlignment="1">
      <alignment horizontal="right" vertical="center"/>
    </xf>
    <xf numFmtId="0" fontId="37" fillId="10" borderId="97" xfId="0" applyFont="1" applyFill="1" applyBorder="1" applyAlignment="1">
      <alignment horizontal="right" vertical="center"/>
    </xf>
    <xf numFmtId="0" fontId="37" fillId="10" borderId="98" xfId="0" applyFont="1" applyFill="1" applyBorder="1" applyAlignment="1">
      <alignment horizontal="right" vertical="center"/>
    </xf>
    <xf numFmtId="0" fontId="44" fillId="10" borderId="14" xfId="0" applyFont="1" applyFill="1" applyBorder="1" applyAlignment="1">
      <alignment horizontal="left" vertical="center"/>
    </xf>
    <xf numFmtId="0" fontId="44" fillId="10" borderId="39" xfId="0" applyFont="1" applyFill="1" applyBorder="1" applyAlignment="1">
      <alignment horizontal="left" vertical="center"/>
    </xf>
    <xf numFmtId="0" fontId="44" fillId="10" borderId="31" xfId="0" applyFont="1" applyFill="1" applyBorder="1" applyAlignment="1">
      <alignment horizontal="left" vertical="center"/>
    </xf>
    <xf numFmtId="0" fontId="63" fillId="10" borderId="14" xfId="0" applyFont="1" applyFill="1" applyBorder="1" applyAlignment="1">
      <alignment horizontal="center" vertical="center"/>
    </xf>
    <xf numFmtId="0" fontId="63" fillId="10" borderId="39" xfId="0" applyFont="1" applyFill="1" applyBorder="1" applyAlignment="1">
      <alignment horizontal="center" vertical="center"/>
    </xf>
    <xf numFmtId="0" fontId="63" fillId="10" borderId="31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39" xfId="0" applyFont="1" applyFill="1" applyBorder="1" applyAlignment="1">
      <alignment horizontal="left" vertical="center"/>
    </xf>
    <xf numFmtId="0" fontId="62" fillId="0" borderId="31" xfId="0" applyFont="1" applyFill="1" applyBorder="1" applyAlignment="1">
      <alignment horizontal="left" vertical="center"/>
    </xf>
    <xf numFmtId="0" fontId="37" fillId="10" borderId="14" xfId="0" applyFont="1" applyFill="1" applyBorder="1" applyAlignment="1">
      <alignment horizontal="right" vertical="center"/>
    </xf>
    <xf numFmtId="0" fontId="25" fillId="0" borderId="0" xfId="5" applyFont="1" applyAlignment="1">
      <alignment horizontal="justify" vertical="center" wrapText="1"/>
    </xf>
    <xf numFmtId="0" fontId="28" fillId="0" borderId="0" xfId="5" applyFont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28" fillId="10" borderId="20" xfId="5" applyFont="1" applyFill="1" applyBorder="1" applyAlignment="1">
      <alignment horizontal="right" vertical="center"/>
    </xf>
    <xf numFmtId="0" fontId="28" fillId="10" borderId="2" xfId="5" applyFont="1" applyFill="1" applyBorder="1" applyAlignment="1">
      <alignment horizontal="right" vertical="center"/>
    </xf>
    <xf numFmtId="0" fontId="28" fillId="10" borderId="58" xfId="5" applyFont="1" applyFill="1" applyBorder="1" applyAlignment="1">
      <alignment horizontal="right" vertical="center"/>
    </xf>
    <xf numFmtId="0" fontId="28" fillId="10" borderId="39" xfId="5" applyFont="1" applyFill="1" applyBorder="1" applyAlignment="1">
      <alignment horizontal="right" vertical="center"/>
    </xf>
    <xf numFmtId="0" fontId="28" fillId="10" borderId="31" xfId="5" applyFont="1" applyFill="1" applyBorder="1" applyAlignment="1">
      <alignment horizontal="right" vertical="center"/>
    </xf>
    <xf numFmtId="0" fontId="28" fillId="10" borderId="24" xfId="5" applyFont="1" applyFill="1" applyBorder="1" applyAlignment="1">
      <alignment horizontal="right" vertical="center"/>
    </xf>
    <xf numFmtId="0" fontId="28" fillId="10" borderId="25" xfId="5" applyFont="1" applyFill="1" applyBorder="1" applyAlignment="1">
      <alignment horizontal="right" vertical="center"/>
    </xf>
    <xf numFmtId="0" fontId="28" fillId="0" borderId="20" xfId="5" applyFont="1" applyFill="1" applyBorder="1" applyAlignment="1">
      <alignment horizontal="right" vertical="center"/>
    </xf>
    <xf numFmtId="0" fontId="28" fillId="0" borderId="2" xfId="5" applyFont="1" applyFill="1" applyBorder="1" applyAlignment="1">
      <alignment horizontal="right" vertical="center"/>
    </xf>
    <xf numFmtId="0" fontId="8" fillId="0" borderId="2" xfId="5" applyFont="1" applyBorder="1" applyAlignment="1">
      <alignment horizontal="left" vertical="center"/>
    </xf>
    <xf numFmtId="0" fontId="8" fillId="0" borderId="21" xfId="5" applyFont="1" applyBorder="1" applyAlignment="1">
      <alignment horizontal="left" vertical="center"/>
    </xf>
    <xf numFmtId="0" fontId="25" fillId="12" borderId="14" xfId="5" applyFont="1" applyFill="1" applyBorder="1" applyAlignment="1">
      <alignment horizontal="center" vertical="center"/>
    </xf>
    <xf numFmtId="0" fontId="25" fillId="12" borderId="31" xfId="5" applyFont="1" applyFill="1" applyBorder="1" applyAlignment="1">
      <alignment horizontal="center" vertical="center"/>
    </xf>
    <xf numFmtId="3" fontId="25" fillId="0" borderId="14" xfId="5" applyNumberFormat="1" applyFont="1" applyBorder="1" applyAlignment="1">
      <alignment horizontal="right" vertical="center"/>
    </xf>
    <xf numFmtId="3" fontId="25" fillId="0" borderId="31" xfId="5" applyNumberFormat="1" applyFont="1" applyBorder="1" applyAlignment="1">
      <alignment horizontal="right" vertical="center"/>
    </xf>
    <xf numFmtId="0" fontId="38" fillId="11" borderId="20" xfId="5" applyFont="1" applyFill="1" applyBorder="1" applyAlignment="1">
      <alignment horizontal="right" vertical="center" wrapText="1"/>
    </xf>
    <xf numFmtId="0" fontId="38" fillId="11" borderId="2" xfId="5" applyFont="1" applyFill="1" applyBorder="1" applyAlignment="1">
      <alignment horizontal="right" vertical="center" wrapText="1"/>
    </xf>
    <xf numFmtId="0" fontId="38" fillId="4" borderId="58" xfId="5" applyFont="1" applyFill="1" applyBorder="1" applyAlignment="1">
      <alignment horizontal="center" vertical="center" wrapText="1"/>
    </xf>
    <xf numFmtId="0" fontId="38" fillId="4" borderId="39" xfId="5" applyFont="1" applyFill="1" applyBorder="1" applyAlignment="1">
      <alignment horizontal="center" vertical="center" wrapText="1"/>
    </xf>
    <xf numFmtId="0" fontId="38" fillId="4" borderId="59" xfId="5" applyFont="1" applyFill="1" applyBorder="1" applyAlignment="1">
      <alignment horizontal="center" vertical="center" wrapText="1"/>
    </xf>
    <xf numFmtId="0" fontId="25" fillId="0" borderId="20" xfId="5" applyFont="1" applyBorder="1" applyAlignment="1">
      <alignment horizontal="center" vertical="center"/>
    </xf>
    <xf numFmtId="0" fontId="25" fillId="0" borderId="2" xfId="5" applyFont="1" applyBorder="1" applyAlignment="1">
      <alignment horizontal="center" vertical="center"/>
    </xf>
    <xf numFmtId="0" fontId="28" fillId="11" borderId="73" xfId="5" applyFont="1" applyFill="1" applyBorder="1" applyAlignment="1">
      <alignment horizontal="center" vertical="center" wrapText="1"/>
    </xf>
    <xf numFmtId="0" fontId="28" fillId="11" borderId="57" xfId="5" applyFont="1" applyFill="1" applyBorder="1" applyAlignment="1">
      <alignment horizontal="center" vertical="center" wrapText="1"/>
    </xf>
    <xf numFmtId="0" fontId="28" fillId="4" borderId="44" xfId="5" applyFont="1" applyFill="1" applyBorder="1" applyAlignment="1">
      <alignment horizontal="center" vertical="center" wrapText="1"/>
    </xf>
    <xf numFmtId="0" fontId="28" fillId="4" borderId="45" xfId="5" applyFont="1" applyFill="1" applyBorder="1" applyAlignment="1">
      <alignment horizontal="center" vertical="center" wrapText="1"/>
    </xf>
    <xf numFmtId="0" fontId="28" fillId="4" borderId="46" xfId="5" applyFont="1" applyFill="1" applyBorder="1" applyAlignment="1">
      <alignment horizontal="center" vertical="center" wrapText="1"/>
    </xf>
    <xf numFmtId="0" fontId="8" fillId="4" borderId="44" xfId="6" applyFont="1" applyFill="1" applyBorder="1" applyAlignment="1">
      <alignment horizontal="center" vertical="center" wrapText="1"/>
    </xf>
    <xf numFmtId="0" fontId="8" fillId="4" borderId="45" xfId="6" applyFont="1" applyFill="1" applyBorder="1" applyAlignment="1">
      <alignment horizontal="center" vertical="center" wrapText="1"/>
    </xf>
    <xf numFmtId="0" fontId="8" fillId="4" borderId="46" xfId="6" applyFont="1" applyFill="1" applyBorder="1" applyAlignment="1">
      <alignment horizontal="center" vertical="center" wrapText="1"/>
    </xf>
    <xf numFmtId="0" fontId="8" fillId="4" borderId="0" xfId="6" applyFont="1" applyFill="1" applyBorder="1" applyAlignment="1">
      <alignment horizontal="center"/>
    </xf>
    <xf numFmtId="0" fontId="8" fillId="4" borderId="41" xfId="6" applyFont="1" applyFill="1" applyBorder="1" applyAlignment="1">
      <alignment horizontal="center"/>
    </xf>
    <xf numFmtId="0" fontId="8" fillId="0" borderId="4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41" xfId="6" applyFont="1" applyFill="1" applyBorder="1" applyAlignment="1">
      <alignment horizontal="center"/>
    </xf>
    <xf numFmtId="0" fontId="8" fillId="4" borderId="40" xfId="6" applyFont="1" applyFill="1" applyBorder="1" applyAlignment="1">
      <alignment horizontal="center" vertical="justify"/>
    </xf>
    <xf numFmtId="0" fontId="8" fillId="4" borderId="0" xfId="6" applyFont="1" applyFill="1" applyBorder="1" applyAlignment="1">
      <alignment horizontal="center" vertical="justify"/>
    </xf>
    <xf numFmtId="0" fontId="8" fillId="4" borderId="41" xfId="6" applyFont="1" applyFill="1" applyBorder="1" applyAlignment="1">
      <alignment horizontal="center" vertical="justify"/>
    </xf>
    <xf numFmtId="0" fontId="25" fillId="0" borderId="58" xfId="5" applyFont="1" applyBorder="1" applyAlignment="1">
      <alignment horizontal="center"/>
    </xf>
    <xf numFmtId="0" fontId="25" fillId="0" borderId="39" xfId="5" applyFont="1" applyBorder="1" applyAlignment="1">
      <alignment horizontal="center"/>
    </xf>
    <xf numFmtId="0" fontId="25" fillId="0" borderId="59" xfId="5" applyFont="1" applyBorder="1" applyAlignment="1">
      <alignment horizontal="center"/>
    </xf>
    <xf numFmtId="0" fontId="25" fillId="0" borderId="44" xfId="5" applyFont="1" applyBorder="1" applyAlignment="1">
      <alignment wrapText="1"/>
    </xf>
    <xf numFmtId="0" fontId="25" fillId="0" borderId="45" xfId="5" applyFont="1" applyBorder="1" applyAlignment="1">
      <alignment wrapText="1"/>
    </xf>
    <xf numFmtId="0" fontId="25" fillId="0" borderId="46" xfId="5" applyFont="1" applyBorder="1" applyAlignment="1">
      <alignment wrapText="1"/>
    </xf>
    <xf numFmtId="0" fontId="25" fillId="0" borderId="40" xfId="5" applyFont="1" applyBorder="1" applyAlignment="1">
      <alignment wrapText="1"/>
    </xf>
    <xf numFmtId="0" fontId="25" fillId="0" borderId="0" xfId="5" applyFont="1" applyBorder="1" applyAlignment="1">
      <alignment wrapText="1"/>
    </xf>
    <xf numFmtId="0" fontId="25" fillId="0" borderId="41" xfId="5" applyFont="1" applyBorder="1" applyAlignment="1">
      <alignment wrapText="1"/>
    </xf>
    <xf numFmtId="0" fontId="25" fillId="0" borderId="42" xfId="5" applyFont="1" applyBorder="1" applyAlignment="1">
      <alignment wrapText="1"/>
    </xf>
    <xf numFmtId="0" fontId="25" fillId="0" borderId="43" xfId="5" applyFont="1" applyBorder="1" applyAlignment="1">
      <alignment wrapText="1"/>
    </xf>
    <xf numFmtId="0" fontId="25" fillId="0" borderId="47" xfId="5" applyFont="1" applyBorder="1" applyAlignment="1">
      <alignment wrapText="1"/>
    </xf>
    <xf numFmtId="0" fontId="8" fillId="10" borderId="14" xfId="5" applyFont="1" applyFill="1" applyBorder="1" applyAlignment="1">
      <alignment horizontal="center"/>
    </xf>
    <xf numFmtId="0" fontId="8" fillId="10" borderId="39" xfId="5" applyFont="1" applyFill="1" applyBorder="1" applyAlignment="1">
      <alignment horizontal="center"/>
    </xf>
    <xf numFmtId="0" fontId="8" fillId="10" borderId="31" xfId="5" applyFont="1" applyFill="1" applyBorder="1" applyAlignment="1">
      <alignment horizontal="center"/>
    </xf>
    <xf numFmtId="0" fontId="8" fillId="10" borderId="14" xfId="5" applyFont="1" applyFill="1" applyBorder="1" applyAlignment="1">
      <alignment horizontal="right"/>
    </xf>
    <xf numFmtId="0" fontId="8" fillId="10" borderId="39" xfId="5" applyFont="1" applyFill="1" applyBorder="1" applyAlignment="1">
      <alignment horizontal="right"/>
    </xf>
    <xf numFmtId="0" fontId="8" fillId="10" borderId="31" xfId="5" applyFont="1" applyFill="1" applyBorder="1" applyAlignment="1">
      <alignment horizontal="right"/>
    </xf>
    <xf numFmtId="0" fontId="7" fillId="8" borderId="3" xfId="5" applyFont="1" applyFill="1" applyBorder="1" applyAlignment="1">
      <alignment horizontal="center"/>
    </xf>
    <xf numFmtId="0" fontId="7" fillId="8" borderId="4" xfId="5" applyFont="1" applyFill="1" applyBorder="1" applyAlignment="1">
      <alignment horizontal="center"/>
    </xf>
    <xf numFmtId="0" fontId="7" fillId="8" borderId="5" xfId="5" applyFont="1" applyFill="1" applyBorder="1" applyAlignment="1">
      <alignment horizontal="center"/>
    </xf>
    <xf numFmtId="0" fontId="28" fillId="11" borderId="58" xfId="5" applyFont="1" applyFill="1" applyBorder="1" applyAlignment="1">
      <alignment horizontal="left" vertical="center"/>
    </xf>
    <xf numFmtId="0" fontId="28" fillId="11" borderId="39" xfId="5" applyFont="1" applyFill="1" applyBorder="1" applyAlignment="1">
      <alignment horizontal="left" vertical="center"/>
    </xf>
    <xf numFmtId="0" fontId="28" fillId="11" borderId="59" xfId="5" applyFont="1" applyFill="1" applyBorder="1" applyAlignment="1">
      <alignment horizontal="left" vertical="center"/>
    </xf>
    <xf numFmtId="0" fontId="28" fillId="0" borderId="58" xfId="5" applyFont="1" applyBorder="1" applyAlignment="1">
      <alignment horizontal="center"/>
    </xf>
    <xf numFmtId="0" fontId="28" fillId="0" borderId="39" xfId="5" applyFont="1" applyBorder="1" applyAlignment="1">
      <alignment horizontal="center"/>
    </xf>
    <xf numFmtId="0" fontId="28" fillId="0" borderId="59" xfId="5" applyFont="1" applyBorder="1" applyAlignment="1">
      <alignment horizontal="center"/>
    </xf>
    <xf numFmtId="0" fontId="4" fillId="1" borderId="75" xfId="0" applyFont="1" applyFill="1" applyBorder="1" applyAlignment="1">
      <alignment horizontal="left"/>
    </xf>
    <xf numFmtId="0" fontId="4" fillId="1" borderId="76" xfId="0" applyFont="1" applyFill="1" applyBorder="1" applyAlignment="1">
      <alignment horizontal="left"/>
    </xf>
    <xf numFmtId="0" fontId="4" fillId="1" borderId="67" xfId="0" applyFont="1" applyFill="1" applyBorder="1" applyAlignment="1">
      <alignment horizontal="left"/>
    </xf>
    <xf numFmtId="0" fontId="4" fillId="1" borderId="68" xfId="0" applyFont="1" applyFill="1" applyBorder="1" applyAlignment="1">
      <alignment horizontal="left"/>
    </xf>
    <xf numFmtId="0" fontId="56" fillId="0" borderId="0" xfId="0" applyFont="1" applyBorder="1" applyAlignment="1">
      <alignment horizontal="left" vertical="center" wrapText="1"/>
    </xf>
    <xf numFmtId="0" fontId="12" fillId="1" borderId="86" xfId="0" applyFont="1" applyFill="1" applyBorder="1" applyAlignment="1">
      <alignment horizontal="left"/>
    </xf>
    <xf numFmtId="0" fontId="12" fillId="0" borderId="88" xfId="0" applyFont="1" applyBorder="1" applyAlignment="1">
      <alignment horizontal="right"/>
    </xf>
    <xf numFmtId="0" fontId="12" fillId="0" borderId="93" xfId="0" applyFont="1" applyBorder="1" applyAlignment="1">
      <alignment horizontal="right"/>
    </xf>
    <xf numFmtId="0" fontId="12" fillId="0" borderId="87" xfId="0" applyFont="1" applyBorder="1" applyAlignment="1">
      <alignment horizontal="right"/>
    </xf>
    <xf numFmtId="0" fontId="12" fillId="1" borderId="67" xfId="0" applyFont="1" applyFill="1" applyBorder="1" applyAlignment="1">
      <alignment horizontal="left"/>
    </xf>
    <xf numFmtId="0" fontId="12" fillId="1" borderId="68" xfId="0" applyFont="1" applyFill="1" applyBorder="1" applyAlignment="1">
      <alignment horizontal="left"/>
    </xf>
    <xf numFmtId="0" fontId="12" fillId="1" borderId="69" xfId="0" applyFont="1" applyFill="1" applyBorder="1" applyAlignment="1">
      <alignment horizontal="left"/>
    </xf>
    <xf numFmtId="0" fontId="50" fillId="1" borderId="75" xfId="0" applyFont="1" applyFill="1" applyBorder="1" applyAlignment="1">
      <alignment horizontal="center"/>
    </xf>
    <xf numFmtId="0" fontId="50" fillId="1" borderId="76" xfId="0" applyFont="1" applyFill="1" applyBorder="1" applyAlignment="1">
      <alignment horizontal="center"/>
    </xf>
    <xf numFmtId="0" fontId="50" fillId="1" borderId="77" xfId="0" applyFont="1" applyFill="1" applyBorder="1" applyAlignment="1">
      <alignment horizontal="center"/>
    </xf>
    <xf numFmtId="0" fontId="50" fillId="1" borderId="78" xfId="0" applyFont="1" applyFill="1" applyBorder="1" applyAlignment="1">
      <alignment horizontal="center"/>
    </xf>
    <xf numFmtId="0" fontId="50" fillId="1" borderId="0" xfId="0" applyFont="1" applyFill="1" applyBorder="1" applyAlignment="1">
      <alignment horizontal="center"/>
    </xf>
    <xf numFmtId="0" fontId="50" fillId="1" borderId="79" xfId="0" applyFont="1" applyFill="1" applyBorder="1" applyAlignment="1">
      <alignment horizontal="center"/>
    </xf>
    <xf numFmtId="0" fontId="50" fillId="1" borderId="80" xfId="0" applyFont="1" applyFill="1" applyBorder="1" applyAlignment="1">
      <alignment horizontal="center"/>
    </xf>
    <xf numFmtId="0" fontId="50" fillId="1" borderId="81" xfId="0" applyFont="1" applyFill="1" applyBorder="1" applyAlignment="1">
      <alignment horizontal="center"/>
    </xf>
    <xf numFmtId="0" fontId="50" fillId="1" borderId="82" xfId="0" applyFont="1" applyFill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68" xfId="0" applyFont="1" applyBorder="1" applyAlignment="1">
      <alignment horizontal="center"/>
    </xf>
    <xf numFmtId="0" fontId="53" fillId="0" borderId="69" xfId="0" applyFont="1" applyBorder="1" applyAlignment="1">
      <alignment horizontal="center"/>
    </xf>
    <xf numFmtId="0" fontId="18" fillId="0" borderId="83" xfId="0" applyFont="1" applyBorder="1" applyAlignment="1">
      <alignment horizontal="left"/>
    </xf>
    <xf numFmtId="0" fontId="23" fillId="0" borderId="85" xfId="0" applyFont="1" applyBorder="1" applyAlignment="1">
      <alignment horizontal="left" wrapText="1"/>
    </xf>
    <xf numFmtId="0" fontId="23" fillId="0" borderId="39" xfId="0" applyFont="1" applyBorder="1" applyAlignment="1">
      <alignment horizontal="left"/>
    </xf>
    <xf numFmtId="0" fontId="23" fillId="0" borderId="85" xfId="0" applyFont="1" applyBorder="1" applyAlignment="1">
      <alignment horizontal="left" vertical="center" wrapText="1"/>
    </xf>
    <xf numFmtId="0" fontId="23" fillId="0" borderId="85" xfId="0" applyFont="1" applyBorder="1" applyAlignment="1">
      <alignment horizontal="left" wrapText="1" shrinkToFit="1"/>
    </xf>
    <xf numFmtId="0" fontId="56" fillId="0" borderId="86" xfId="0" applyFont="1" applyBorder="1" applyAlignment="1">
      <alignment horizontal="center" wrapText="1"/>
    </xf>
    <xf numFmtId="0" fontId="56" fillId="0" borderId="89" xfId="0" applyFont="1" applyBorder="1" applyAlignment="1">
      <alignment horizontal="center" wrapText="1"/>
    </xf>
    <xf numFmtId="0" fontId="56" fillId="0" borderId="87" xfId="0" applyFont="1" applyBorder="1" applyAlignment="1">
      <alignment horizontal="center" wrapText="1"/>
    </xf>
    <xf numFmtId="0" fontId="23" fillId="4" borderId="85" xfId="0" applyFont="1" applyFill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top"/>
    </xf>
    <xf numFmtId="0" fontId="23" fillId="0" borderId="85" xfId="0" applyFont="1" applyBorder="1" applyAlignment="1">
      <alignment horizontal="center" wrapText="1"/>
    </xf>
    <xf numFmtId="0" fontId="23" fillId="0" borderId="85" xfId="0" applyFont="1" applyBorder="1" applyAlignment="1">
      <alignment horizontal="center"/>
    </xf>
    <xf numFmtId="0" fontId="23" fillId="0" borderId="85" xfId="0" applyFont="1" applyBorder="1" applyAlignment="1">
      <alignment horizontal="center" shrinkToFit="1"/>
    </xf>
    <xf numFmtId="0" fontId="23" fillId="0" borderId="85" xfId="0" applyFont="1" applyBorder="1" applyAlignment="1">
      <alignment horizontal="left" vertical="top" wrapText="1" shrinkToFit="1"/>
    </xf>
    <xf numFmtId="2" fontId="3" fillId="0" borderId="14" xfId="11" applyNumberFormat="1" applyFont="1" applyBorder="1" applyAlignment="1">
      <alignment horizontal="center"/>
    </xf>
    <xf numFmtId="2" fontId="3" fillId="0" borderId="31" xfId="11" applyNumberFormat="1" applyFont="1" applyBorder="1" applyAlignment="1">
      <alignment horizontal="center"/>
    </xf>
    <xf numFmtId="0" fontId="3" fillId="0" borderId="61" xfId="11" applyBorder="1" applyAlignment="1">
      <alignment horizontal="left" vertical="top"/>
    </xf>
    <xf numFmtId="0" fontId="3" fillId="0" borderId="2" xfId="11" applyBorder="1" applyAlignment="1">
      <alignment horizontal="left" vertical="top"/>
    </xf>
    <xf numFmtId="0" fontId="3" fillId="0" borderId="62" xfId="11" applyBorder="1" applyAlignment="1">
      <alignment horizontal="left" vertical="top"/>
    </xf>
    <xf numFmtId="0" fontId="3" fillId="0" borderId="27" xfId="11" applyBorder="1" applyAlignment="1">
      <alignment horizontal="left" vertical="top"/>
    </xf>
    <xf numFmtId="2" fontId="3" fillId="0" borderId="39" xfId="11" applyNumberFormat="1" applyFont="1" applyBorder="1" applyAlignment="1">
      <alignment horizontal="center"/>
    </xf>
    <xf numFmtId="2" fontId="3" fillId="0" borderId="14" xfId="12" applyNumberFormat="1" applyFont="1" applyBorder="1" applyAlignment="1">
      <alignment horizontal="center"/>
    </xf>
    <xf numFmtId="2" fontId="3" fillId="0" borderId="31" xfId="12" applyNumberFormat="1" applyFont="1" applyBorder="1" applyAlignment="1">
      <alignment horizontal="center"/>
    </xf>
    <xf numFmtId="169" fontId="3" fillId="0" borderId="14" xfId="12" applyNumberFormat="1" applyFont="1" applyBorder="1" applyAlignment="1">
      <alignment horizontal="center"/>
    </xf>
    <xf numFmtId="169" fontId="3" fillId="0" borderId="31" xfId="12" applyNumberFormat="1" applyFont="1" applyBorder="1" applyAlignment="1">
      <alignment horizontal="center"/>
    </xf>
    <xf numFmtId="0" fontId="3" fillId="0" borderId="62" xfId="11" applyBorder="1" applyAlignment="1">
      <alignment horizontal="center"/>
    </xf>
    <xf numFmtId="0" fontId="3" fillId="0" borderId="27" xfId="11" applyBorder="1" applyAlignment="1">
      <alignment horizontal="center"/>
    </xf>
    <xf numFmtId="0" fontId="5" fillId="2" borderId="63" xfId="11" applyFont="1" applyFill="1" applyBorder="1" applyAlignment="1">
      <alignment horizontal="center" vertical="top"/>
    </xf>
    <xf numFmtId="0" fontId="5" fillId="2" borderId="10" xfId="11" applyFont="1" applyFill="1" applyBorder="1" applyAlignment="1">
      <alignment horizontal="center" vertical="top"/>
    </xf>
    <xf numFmtId="0" fontId="5" fillId="2" borderId="13" xfId="11" applyFont="1" applyFill="1" applyBorder="1" applyAlignment="1">
      <alignment horizontal="center" vertical="top"/>
    </xf>
    <xf numFmtId="0" fontId="3" fillId="0" borderId="61" xfId="11" applyBorder="1" applyAlignment="1">
      <alignment horizontal="center"/>
    </xf>
    <xf numFmtId="0" fontId="3" fillId="0" borderId="2" xfId="11" applyBorder="1" applyAlignment="1">
      <alignment horizontal="center"/>
    </xf>
    <xf numFmtId="0" fontId="11" fillId="0" borderId="66" xfId="11" applyFont="1" applyBorder="1" applyAlignment="1" applyProtection="1">
      <alignment horizontal="left"/>
    </xf>
    <xf numFmtId="0" fontId="11" fillId="0" borderId="31" xfId="11" applyFont="1" applyBorder="1" applyAlignment="1" applyProtection="1">
      <alignment horizontal="left"/>
    </xf>
    <xf numFmtId="0" fontId="11" fillId="0" borderId="64" xfId="11" applyFont="1" applyBorder="1" applyAlignment="1" applyProtection="1">
      <alignment horizontal="left"/>
    </xf>
    <xf numFmtId="0" fontId="11" fillId="0" borderId="65" xfId="11" applyFont="1" applyBorder="1" applyAlignment="1" applyProtection="1">
      <alignment horizontal="left"/>
    </xf>
    <xf numFmtId="0" fontId="20" fillId="13" borderId="3" xfId="5" applyFont="1" applyFill="1" applyBorder="1" applyAlignment="1">
      <alignment horizontal="center" vertical="center" wrapText="1"/>
    </xf>
    <xf numFmtId="0" fontId="20" fillId="13" borderId="4" xfId="5" applyFont="1" applyFill="1" applyBorder="1" applyAlignment="1">
      <alignment horizontal="center" vertical="center" wrapText="1"/>
    </xf>
    <xf numFmtId="0" fontId="20" fillId="13" borderId="5" xfId="5" applyFont="1" applyFill="1" applyBorder="1" applyAlignment="1">
      <alignment horizontal="center" vertical="center" wrapText="1"/>
    </xf>
    <xf numFmtId="0" fontId="14" fillId="6" borderId="44" xfId="11" applyFont="1" applyFill="1" applyBorder="1" applyAlignment="1">
      <alignment horizontal="center"/>
    </xf>
    <xf numFmtId="0" fontId="14" fillId="6" borderId="45" xfId="11" applyFont="1" applyFill="1" applyBorder="1" applyAlignment="1">
      <alignment horizontal="center"/>
    </xf>
    <xf numFmtId="0" fontId="14" fillId="6" borderId="46" xfId="11" applyFont="1" applyFill="1" applyBorder="1" applyAlignment="1">
      <alignment horizontal="center"/>
    </xf>
    <xf numFmtId="0" fontId="14" fillId="6" borderId="40" xfId="11" applyFont="1" applyFill="1" applyBorder="1" applyAlignment="1">
      <alignment horizontal="center"/>
    </xf>
    <xf numFmtId="0" fontId="14" fillId="6" borderId="0" xfId="11" applyFont="1" applyFill="1" applyBorder="1" applyAlignment="1">
      <alignment horizontal="center"/>
    </xf>
    <xf numFmtId="0" fontId="14" fillId="6" borderId="41" xfId="11" applyFont="1" applyFill="1" applyBorder="1" applyAlignment="1">
      <alignment horizontal="center"/>
    </xf>
    <xf numFmtId="2" fontId="17" fillId="6" borderId="40" xfId="11" applyNumberFormat="1" applyFont="1" applyFill="1" applyBorder="1" applyAlignment="1">
      <alignment horizontal="center"/>
    </xf>
    <xf numFmtId="2" fontId="17" fillId="6" borderId="0" xfId="11" applyNumberFormat="1" applyFont="1" applyFill="1" applyBorder="1" applyAlignment="1">
      <alignment horizontal="center"/>
    </xf>
    <xf numFmtId="2" fontId="17" fillId="6" borderId="41" xfId="11" applyNumberFormat="1" applyFont="1" applyFill="1" applyBorder="1" applyAlignment="1">
      <alignment horizontal="center"/>
    </xf>
    <xf numFmtId="0" fontId="11" fillId="6" borderId="42" xfId="11" applyFont="1" applyFill="1" applyBorder="1" applyAlignment="1">
      <alignment horizontal="center" vertical="top"/>
    </xf>
    <xf numFmtId="0" fontId="11" fillId="6" borderId="43" xfId="11" applyFont="1" applyFill="1" applyBorder="1" applyAlignment="1">
      <alignment horizontal="center" vertical="top"/>
    </xf>
    <xf numFmtId="0" fontId="11" fillId="6" borderId="47" xfId="11" applyFont="1" applyFill="1" applyBorder="1" applyAlignment="1">
      <alignment horizontal="center" vertical="top"/>
    </xf>
    <xf numFmtId="0" fontId="8" fillId="9" borderId="37" xfId="11" applyFont="1" applyFill="1" applyBorder="1" applyAlignment="1">
      <alignment horizontal="center" vertical="center" wrapText="1"/>
    </xf>
    <xf numFmtId="0" fontId="8" fillId="9" borderId="38" xfId="11" applyFont="1" applyFill="1" applyBorder="1" applyAlignment="1">
      <alignment horizontal="center" vertical="center" wrapText="1"/>
    </xf>
    <xf numFmtId="0" fontId="8" fillId="9" borderId="32" xfId="11" applyFont="1" applyFill="1" applyBorder="1" applyAlignment="1">
      <alignment horizontal="center" vertical="center" wrapText="1"/>
    </xf>
    <xf numFmtId="0" fontId="3" fillId="9" borderId="33" xfId="11" applyFont="1" applyFill="1" applyBorder="1" applyAlignment="1">
      <alignment horizontal="center" vertical="center" wrapText="1"/>
    </xf>
    <xf numFmtId="173" fontId="8" fillId="9" borderId="32" xfId="11" applyNumberFormat="1" applyFont="1" applyFill="1" applyBorder="1" applyAlignment="1">
      <alignment horizontal="center" vertical="center" wrapText="1"/>
    </xf>
    <xf numFmtId="173" fontId="8" fillId="9" borderId="6" xfId="11" applyNumberFormat="1" applyFont="1" applyFill="1" applyBorder="1" applyAlignment="1">
      <alignment horizontal="center" vertical="center" wrapText="1"/>
    </xf>
    <xf numFmtId="0" fontId="3" fillId="9" borderId="8" xfId="11" applyFont="1" applyFill="1" applyBorder="1" applyAlignment="1">
      <alignment horizontal="center" vertical="center" wrapText="1"/>
    </xf>
    <xf numFmtId="0" fontId="5" fillId="2" borderId="48" xfId="11" applyFont="1" applyFill="1" applyBorder="1" applyAlignment="1">
      <alignment horizontal="center" vertical="top"/>
    </xf>
    <xf numFmtId="0" fontId="5" fillId="2" borderId="49" xfId="11" applyFont="1" applyFill="1" applyBorder="1" applyAlignment="1">
      <alignment horizontal="center" vertical="top"/>
    </xf>
    <xf numFmtId="0" fontId="5" fillId="2" borderId="50" xfId="11" applyFont="1" applyFill="1" applyBorder="1" applyAlignment="1">
      <alignment horizontal="center" vertical="top"/>
    </xf>
    <xf numFmtId="0" fontId="7" fillId="0" borderId="67" xfId="11" applyFont="1" applyBorder="1" applyAlignment="1" applyProtection="1">
      <alignment horizontal="center"/>
    </xf>
    <xf numFmtId="0" fontId="7" fillId="0" borderId="68" xfId="11" applyFont="1" applyBorder="1" applyAlignment="1" applyProtection="1">
      <alignment horizontal="center"/>
    </xf>
    <xf numFmtId="0" fontId="7" fillId="0" borderId="69" xfId="11" applyFont="1" applyBorder="1" applyAlignment="1" applyProtection="1">
      <alignment horizontal="center"/>
    </xf>
    <xf numFmtId="0" fontId="8" fillId="0" borderId="67" xfId="11" applyFont="1" applyBorder="1" applyAlignment="1" applyProtection="1">
      <alignment horizontal="center"/>
    </xf>
    <xf numFmtId="0" fontId="8" fillId="0" borderId="70" xfId="11" applyFont="1" applyBorder="1" applyAlignment="1" applyProtection="1">
      <alignment horizontal="center"/>
    </xf>
    <xf numFmtId="0" fontId="11" fillId="0" borderId="71" xfId="11" applyFont="1" applyBorder="1" applyAlignment="1" applyProtection="1">
      <alignment horizontal="left"/>
    </xf>
    <xf numFmtId="0" fontId="11" fillId="0" borderId="72" xfId="11" applyFont="1" applyBorder="1" applyAlignment="1" applyProtection="1">
      <alignment horizontal="left"/>
    </xf>
    <xf numFmtId="0" fontId="23" fillId="18" borderId="2" xfId="0" applyFont="1" applyFill="1" applyBorder="1" applyAlignment="1">
      <alignment horizontal="justify" vertical="center" wrapText="1"/>
    </xf>
    <xf numFmtId="0" fontId="31" fillId="18" borderId="2" xfId="0" applyFont="1" applyFill="1" applyBorder="1" applyAlignment="1">
      <alignment horizontal="justify" vertical="center" wrapText="1"/>
    </xf>
  </cellXfs>
  <cellStyles count="21">
    <cellStyle name="Euro" xfId="15"/>
    <cellStyle name="Millares" xfId="14" builtinId="3"/>
    <cellStyle name="Millares [0] 2" xfId="1"/>
    <cellStyle name="Millares [0] 3" xfId="12"/>
    <cellStyle name="Millares 3" xfId="13"/>
    <cellStyle name="Millares 6" xfId="2"/>
    <cellStyle name="Moneda" xfId="3" builtinId="4"/>
    <cellStyle name="Moneda 2" xfId="18"/>
    <cellStyle name="Normal" xfId="0" builtinId="0"/>
    <cellStyle name="Normal 10" xfId="4"/>
    <cellStyle name="Normal 2" xfId="5"/>
    <cellStyle name="Normal 2 10 2" xfId="6"/>
    <cellStyle name="Normal 3" xfId="7"/>
    <cellStyle name="Normal 3 2" xfId="8"/>
    <cellStyle name="Normal 4" xfId="9"/>
    <cellStyle name="Normal 5" xfId="11"/>
    <cellStyle name="Normal_Hoja1" xfId="20"/>
    <cellStyle name="Porcentaje" xfId="17" builtinId="5"/>
    <cellStyle name="Porcentaje 2" xfId="10"/>
    <cellStyle name="Porcentaje 2 2" xfId="16"/>
    <cellStyle name="Porcentaje 2 3" xfId="19"/>
  </cellStyles>
  <dxfs count="0"/>
  <tableStyles count="0" defaultTableStyle="TableStyleMedium9" defaultPivotStyle="PivotStyleLight16"/>
  <colors>
    <mruColors>
      <color rgb="FFE38DBA"/>
      <color rgb="FFF0F44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CNICA2/AppData/Local/Temp/Temp1_Outlook.com%20(1).zip/PPTO%20PROCESOS%20T&#201;CNICOS%20nuevo/INTERVENTO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ITO/PROYECTOS%20TRANSITO%20Y%20TRANSPORTE%202014%20-%202016/PROYECTO%20SEMAFORIZACI&#211;N/PROYECTO%20SEMAFORIZACI&#211;N%20ITTB%202016%20-%201&#176;%20ACT/ANEXOS/PRESUPUESTO%20DETALLADO%20Y%20CONSOLIDADO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YULY/TRANSITO/PROYECTOS%20TRANSITO%20Y%20TRANSPORTE%202014%20-%202015/PROYECTO%20SEMAFORIZACI&#211;N/PROYECTO%20SEMAFORIZACI&#211;N%20ITTB%202016%20-%201&#176;%20ACT/PRESUPUESTOS%20Y%20A%20P%20U%20SEMAFOROS%202015%20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CNICA2\AppData\Local\Temp\Temp1_Outlook.com%20(1).zip\PPTO%20PROCESOS%20T&#201;CNICOS%20nuevo\INTERVENTOR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\Desktop\ANEXOS%20PROYECTO%20SISTEMA%20TRANS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TERVENTORIA"/>
      <sheetName val="FM"/>
      <sheetName val="GASTO"/>
      <sheetName val="AUXILIARTEC"/>
      <sheetName val="PERSOADMIN"/>
      <sheetName val="DIRECTVOS"/>
      <sheetName val="PERSTECNI"/>
      <sheetName val="SAL"/>
      <sheetName val="DEPRE"/>
      <sheetName val="TRANS"/>
      <sheetName val="Hoja6"/>
      <sheetName val="E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C1</v>
          </cell>
        </row>
        <row r="3">
          <cell r="A3" t="str">
            <v>C2</v>
          </cell>
        </row>
        <row r="4">
          <cell r="A4" t="str">
            <v>M</v>
          </cell>
        </row>
      </sheetData>
      <sheetData sheetId="5" refreshError="1">
        <row r="2">
          <cell r="A2" t="str">
            <v>A</v>
          </cell>
        </row>
        <row r="3">
          <cell r="A3" t="str">
            <v>AA</v>
          </cell>
        </row>
        <row r="4">
          <cell r="A4" t="str">
            <v>S1</v>
          </cell>
        </row>
        <row r="5">
          <cell r="A5" t="str">
            <v>S2</v>
          </cell>
        </row>
      </sheetData>
      <sheetData sheetId="6" refreshError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</sheetData>
      <sheetData sheetId="7" refreshError="1">
        <row r="2">
          <cell r="A2" t="str">
            <v>TAI</v>
          </cell>
        </row>
        <row r="3">
          <cell r="A3" t="str">
            <v>AI</v>
          </cell>
        </row>
        <row r="4">
          <cell r="A4" t="str">
            <v>D1</v>
          </cell>
        </row>
        <row r="5">
          <cell r="A5" t="str">
            <v>D2</v>
          </cell>
        </row>
        <row r="6">
          <cell r="A6" t="str">
            <v>TI</v>
          </cell>
        </row>
        <row r="7">
          <cell r="A7" t="str">
            <v>TA</v>
          </cell>
        </row>
        <row r="8">
          <cell r="A8" t="str">
            <v>BI</v>
          </cell>
        </row>
        <row r="9">
          <cell r="A9" t="str">
            <v>BA</v>
          </cell>
        </row>
        <row r="10">
          <cell r="A10" t="str">
            <v>LI</v>
          </cell>
        </row>
        <row r="11">
          <cell r="A11" t="str">
            <v>LA</v>
          </cell>
        </row>
        <row r="12">
          <cell r="A12" t="str">
            <v>OE</v>
          </cell>
        </row>
        <row r="13">
          <cell r="A13" t="str">
            <v>OAE</v>
          </cell>
        </row>
        <row r="14">
          <cell r="A14" t="str">
            <v>I1</v>
          </cell>
        </row>
        <row r="15">
          <cell r="A15" t="str">
            <v>I2</v>
          </cell>
        </row>
      </sheetData>
      <sheetData sheetId="8" refreshError="1"/>
      <sheetData sheetId="9" refreshError="1"/>
      <sheetData sheetId="10" refreshError="1">
        <row r="1">
          <cell r="A1" t="str">
            <v>TIPO</v>
          </cell>
        </row>
        <row r="2">
          <cell r="A2" t="str">
            <v>Campero, Pick-Up, Camioneta, Camión o similar.(1300-2000) $/Día-8horas</v>
          </cell>
        </row>
        <row r="3">
          <cell r="A3" t="str">
            <v>Campero, Pick-Up, Camioneta, Camión o similar.(1300-2000)$/mes</v>
          </cell>
        </row>
        <row r="4">
          <cell r="A4" t="str">
            <v>Campero, Pick-Up, Camioneta, Camión o similar.(&gt;2000)$/Día -8 horas</v>
          </cell>
        </row>
        <row r="5">
          <cell r="A5" t="str">
            <v>Campero, Pick-Up, Camioneta, Camión o similar.(&gt;2000)$/Mes</v>
          </cell>
        </row>
        <row r="6">
          <cell r="A6" t="str">
            <v>Vehiculos con capacidad de carga de 3 Ton o más($/Día-8 Horas</v>
          </cell>
        </row>
        <row r="7">
          <cell r="A7" t="str">
            <v>Vehiculos con capacidad de carga de 3 Ton o más ($/Mes)</v>
          </cell>
        </row>
      </sheetData>
      <sheetData sheetId="11" refreshError="1"/>
      <sheetData sheetId="12" refreshError="1">
        <row r="2">
          <cell r="B2" t="str">
            <v>ENSAYOS DE LABORATORIO SUB-RASANTE-MATERIAL SUB-BASE</v>
          </cell>
        </row>
        <row r="3">
          <cell r="B3" t="str">
            <v>Analisis granulométrico con lavado hasta el tamiz No 200</v>
          </cell>
        </row>
        <row r="4">
          <cell r="B4" t="str">
            <v>Caras Fracturadas</v>
          </cell>
        </row>
        <row r="5">
          <cell r="B5" t="str">
            <v>CBR material granular- Metodo I (3 Puntos)</v>
          </cell>
        </row>
        <row r="6">
          <cell r="B6" t="str">
            <v>Compactación modificada</v>
          </cell>
        </row>
        <row r="7">
          <cell r="B7" t="str">
            <v>Contenido de materia organica</v>
          </cell>
        </row>
        <row r="8">
          <cell r="B8" t="str">
            <v>Densidades de campo</v>
          </cell>
        </row>
        <row r="9">
          <cell r="B9" t="str">
            <v>Desgaste en la Maq de los Angeles</v>
          </cell>
        </row>
        <row r="10">
          <cell r="B10" t="str">
            <v>Equivalente de arena</v>
          </cell>
        </row>
        <row r="11">
          <cell r="B11" t="str">
            <v>Humedad natural</v>
          </cell>
        </row>
        <row r="12">
          <cell r="B12" t="str">
            <v>Indice de Aplanamiento y Alargamiento</v>
          </cell>
        </row>
        <row r="13">
          <cell r="B13" t="str">
            <v>Limites de atterberg</v>
          </cell>
        </row>
        <row r="14">
          <cell r="B14" t="str">
            <v>Solidez (5 ciclos)</v>
          </cell>
        </row>
        <row r="15">
          <cell r="B15" t="str">
            <v>Toma de muestra inalterada en el terreno (por punto)</v>
          </cell>
        </row>
        <row r="16">
          <cell r="B16" t="str">
            <v>ENSAYOS CONTROL DE CALIDAD MEZCLA DENSA EN FRIO</v>
          </cell>
        </row>
        <row r="17">
          <cell r="B17" t="str">
            <v>Contenido de asfalto residual y granulometria de la extracción</v>
          </cell>
        </row>
        <row r="18">
          <cell r="B18" t="str">
            <v>Ensayo de Cobertura de los agregados de la mezcla</v>
          </cell>
        </row>
        <row r="19">
          <cell r="B19" t="str">
            <v>Humedad de la mezcla</v>
          </cell>
        </row>
        <row r="20">
          <cell r="B20" t="str">
            <v>Inmersión-Comprensión (resistencia conservada)</v>
          </cell>
        </row>
        <row r="21">
          <cell r="B21" t="str">
            <v>ENSAYOS CONTROL CALIDAD MEZCLA DENSA EN CALIENTE</v>
          </cell>
        </row>
        <row r="22">
          <cell r="B22" t="str">
            <v>Contenido de asfalto residual y granulometria de la extracción</v>
          </cell>
        </row>
        <row r="23">
          <cell r="B23" t="str">
            <v>Densidad, Estabilidad y Flujo</v>
          </cell>
        </row>
        <row r="24">
          <cell r="B24" t="str">
            <v>Temperatura</v>
          </cell>
        </row>
        <row r="25">
          <cell r="B25" t="str">
            <v>Toma de briquetas</v>
          </cell>
        </row>
        <row r="26">
          <cell r="B26" t="str">
            <v>CONTROL DE CALIDAD DE EMULSIONES ASFALTICAS CRL-1</v>
          </cell>
        </row>
        <row r="27">
          <cell r="B27" t="str">
            <v>Asentamiento</v>
          </cell>
        </row>
        <row r="28">
          <cell r="B28" t="str">
            <v>Contenido de Agua</v>
          </cell>
        </row>
        <row r="29">
          <cell r="B29" t="str">
            <v>PH</v>
          </cell>
        </row>
        <row r="30">
          <cell r="B30" t="str">
            <v>Retenido en Malla No 20</v>
          </cell>
        </row>
        <row r="31">
          <cell r="B31" t="str">
            <v>Viscosidad a 25 °C Saybolt-furol</v>
          </cell>
        </row>
        <row r="32">
          <cell r="B32" t="str">
            <v>DISEÑO DE MEZCLA DENSA EN FRIO ARTICULO 441</v>
          </cell>
        </row>
        <row r="33">
          <cell r="B33" t="str">
            <v>Ajustes de diseño y correcciones</v>
          </cell>
        </row>
        <row r="34">
          <cell r="B34" t="str">
            <v>Diseño de mezcla densa en frio incluye ensayos</v>
          </cell>
        </row>
        <row r="35">
          <cell r="B35" t="str">
            <v>DISEÑO DE MEZCLA CONCRETOS</v>
          </cell>
        </row>
        <row r="36">
          <cell r="B36" t="str">
            <v>Resistencia a la compresión de muestras Concreto (mayor número de  muestras)</v>
          </cell>
        </row>
        <row r="37">
          <cell r="B37" t="str">
            <v>Resistencia a la compresión de muestras Concreto  (menor número de muestras)</v>
          </cell>
        </row>
        <row r="38">
          <cell r="B38" t="str">
            <v>Resistencia a laflexión de muestras de Concreto</v>
          </cell>
        </row>
        <row r="39">
          <cell r="B39" t="str">
            <v>Asentamiento del concreto (Slump)</v>
          </cell>
        </row>
        <row r="40">
          <cell r="B40" t="str">
            <v>EQUIPOS TOMA DE MUESTRAS CONCRETO</v>
          </cell>
        </row>
        <row r="41">
          <cell r="B41" t="str">
            <v>Alquiler de camisa cilíndrica (8 horas)</v>
          </cell>
        </row>
        <row r="42">
          <cell r="B42" t="str">
            <v>Alquiler de formaleta para vigueta de concreto  (8 horas)</v>
          </cell>
        </row>
        <row r="43">
          <cell r="B43" t="str">
            <v>Alquiler de cono para medir asentamiento (Slump)  (8 horas)</v>
          </cell>
        </row>
        <row r="44">
          <cell r="B44" t="str">
            <v>Alquiler de varilla compactadora  (8 horas)</v>
          </cell>
        </row>
        <row r="45">
          <cell r="B45" t="str">
            <v>Pruebas de conectividad y alcance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detallado"/>
      <sheetName val="Presupuesto consolidado"/>
      <sheetName val="Cotizaciones Interseccion"/>
      <sheetName val="Cotizaciones Insumos Semaforos"/>
      <sheetName val="Ppto Obra Semaforizacion"/>
      <sheetName val="Ppto levantamiento topografico"/>
      <sheetName val="Apu's preliminares"/>
      <sheetName val="Apu's equipos Nuevos (2)"/>
      <sheetName val="Apu's Semaforos (2)"/>
      <sheetName val="Apu's postes y cableado"/>
      <sheetName val="Apu's obra civil (2)"/>
      <sheetName val="Apu's señalizacion"/>
      <sheetName val="Mano de Obra 2016"/>
      <sheetName val="Interventoria Semaforizacion"/>
      <sheetName val="FACTOR MULT."/>
    </sheetNames>
    <sheetDataSet>
      <sheetData sheetId="0"/>
      <sheetData sheetId="1"/>
      <sheetData sheetId="2"/>
      <sheetData sheetId="3"/>
      <sheetData sheetId="4">
        <row r="3">
          <cell r="B3" t="str">
            <v>PRELIMINARES</v>
          </cell>
        </row>
        <row r="4">
          <cell r="B4" t="str">
            <v>DESMANTELAMIENTO, RETIRO Y TRANSPORTE DE POSTES EXISTENTES.</v>
          </cell>
        </row>
        <row r="5">
          <cell r="B5" t="str">
            <v>DESMANTELAMIENTO, RETIRO Y TRANSPORTE DE SEMAFOROS VEHICULARES Y PEATONALES EXISTENTES.</v>
          </cell>
        </row>
        <row r="6">
          <cell r="B6" t="str">
            <v>DESMANTELAMIENTO, RETIRO Y TRANSPORTE DE CONTROLADOR EXISTENTE.</v>
          </cell>
        </row>
        <row r="7">
          <cell r="B7" t="str">
            <v>DESMANTELAMIENTO, RETIRO Y TRANSPORTE DE CABLEADO EXISTENTE.</v>
          </cell>
        </row>
        <row r="8">
          <cell r="B8" t="str">
            <v>DEMOLICION DE ESTRUCTURAS DE CONCRETO EXISTENTE</v>
          </cell>
        </row>
        <row r="34">
          <cell r="B34" t="str">
            <v>SEÑALIZACION</v>
          </cell>
        </row>
        <row r="37">
          <cell r="B37" t="str">
            <v>SEÑALIZACION DE PREVENCION CON CINTA Y AISLAMIENTO DE AREAS DE TRABAJO.</v>
          </cell>
        </row>
      </sheetData>
      <sheetData sheetId="5"/>
      <sheetData sheetId="6">
        <row r="52">
          <cell r="G52">
            <v>2229284</v>
          </cell>
        </row>
        <row r="54">
          <cell r="G54">
            <v>2229284</v>
          </cell>
        </row>
        <row r="110">
          <cell r="G110">
            <v>1309170</v>
          </cell>
        </row>
        <row r="166">
          <cell r="G166">
            <v>784398</v>
          </cell>
        </row>
        <row r="224">
          <cell r="G224">
            <v>678271</v>
          </cell>
        </row>
        <row r="282">
          <cell r="G282">
            <v>936099</v>
          </cell>
        </row>
      </sheetData>
      <sheetData sheetId="7">
        <row r="47">
          <cell r="G47">
            <v>79622193</v>
          </cell>
        </row>
        <row r="105">
          <cell r="G105">
            <v>5576213</v>
          </cell>
        </row>
        <row r="155">
          <cell r="G155">
            <v>16111864</v>
          </cell>
        </row>
      </sheetData>
      <sheetData sheetId="8">
        <row r="48">
          <cell r="G48">
            <v>4270390</v>
          </cell>
        </row>
        <row r="102">
          <cell r="G102">
            <v>4122631</v>
          </cell>
        </row>
        <row r="153">
          <cell r="G153">
            <v>2967587</v>
          </cell>
        </row>
      </sheetData>
      <sheetData sheetId="9">
        <row r="53">
          <cell r="G53">
            <v>1366607</v>
          </cell>
        </row>
        <row r="105">
          <cell r="G105">
            <v>2389720</v>
          </cell>
        </row>
        <row r="164">
          <cell r="G164">
            <v>13466</v>
          </cell>
        </row>
        <row r="223">
          <cell r="G223">
            <v>11064</v>
          </cell>
        </row>
        <row r="279">
          <cell r="G279">
            <v>24956</v>
          </cell>
        </row>
        <row r="337">
          <cell r="G337">
            <v>165330</v>
          </cell>
        </row>
        <row r="397">
          <cell r="G397">
            <v>453235</v>
          </cell>
        </row>
      </sheetData>
      <sheetData sheetId="10">
        <row r="52">
          <cell r="G52">
            <v>304060</v>
          </cell>
        </row>
        <row r="110">
          <cell r="G110">
            <v>255820</v>
          </cell>
        </row>
        <row r="168">
          <cell r="G168">
            <v>252874</v>
          </cell>
        </row>
        <row r="232">
          <cell r="G232">
            <v>300374</v>
          </cell>
        </row>
        <row r="292">
          <cell r="G292">
            <v>542805</v>
          </cell>
        </row>
        <row r="351">
          <cell r="G351">
            <v>516236</v>
          </cell>
        </row>
        <row r="406">
          <cell r="G406">
            <v>353201</v>
          </cell>
        </row>
        <row r="465">
          <cell r="G465">
            <v>440972</v>
          </cell>
        </row>
      </sheetData>
      <sheetData sheetId="11">
        <row r="45">
          <cell r="G45">
            <v>40453.918802717002</v>
          </cell>
        </row>
        <row r="106">
          <cell r="G106">
            <v>268941</v>
          </cell>
        </row>
        <row r="164">
          <cell r="G164">
            <v>2525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SICION INTERSECCION"/>
      <sheetName val="Apu's preliminares"/>
      <sheetName val="Apu's equipos Nuevos"/>
      <sheetName val="Apu's Semaforos"/>
      <sheetName val="Apu's postes y cableado"/>
      <sheetName val="Apu's obra civil"/>
      <sheetName val="Apu's señalizacion"/>
      <sheetName val="SALARIOS 2016"/>
    </sheetNames>
    <sheetDataSet>
      <sheetData sheetId="0" refreshError="1">
        <row r="25">
          <cell r="B25" t="str">
            <v>POSTES Y CABLEADO</v>
          </cell>
        </row>
        <row r="26">
          <cell r="B26" t="str">
            <v>SUMINISTRO E INSTALACION POSTE METALICO TIPO T1 (MASTIL), 2.6 m. FABRICADO EN TUBERIA DE ACERO DE 4" Y 3", GALVANIZADO ACABADO EN PINTURA ELECTROSTÁTICA, ROJO-AMARILLO (INCLUYE TRANSPORTE).</v>
          </cell>
        </row>
        <row r="27">
          <cell r="B27" t="str">
            <v>SUMINISTRO E INSTALACION POSTE METALICO TIPO T2 (MENSULA), 3.6 m. BRAZO DE 5.5.M FABRICADO EN DOS SECCIONES EN TUBERIA DE ACERO DE 4" Y 3", GALVANIZADO ACABADO EN PINTURA ELECTROSTÁTICA, ROJO-AMARILLO (INCLUYE TRANSPORTE).</v>
          </cell>
        </row>
        <row r="28">
          <cell r="B28" t="str">
            <v>SUMINISTRO E INSTALACION CABLE ELECTRICO 4X16 AWG, CONDUCTOR SOLIDO CHAQUETA DE PROTECCION</v>
          </cell>
        </row>
        <row r="31">
          <cell r="B31" t="str">
            <v>SUMINSTRO E INSTALACION DE TUBO EN ACERO-GALVANIZADO DE 3MTS 1" CON CAPACETE, CAJA PARA BREAKER Y BREAKER DE 30 AMP., PARA LA ACOMETIDA (ALIMENTACION ELECTRICA DE A.C).</v>
          </cell>
        </row>
      </sheetData>
      <sheetData sheetId="1" refreshError="1"/>
      <sheetData sheetId="2" refreshError="1"/>
      <sheetData sheetId="3" refreshError="1"/>
      <sheetData sheetId="4" refreshError="1">
        <row r="53">
          <cell r="G53">
            <v>1366607</v>
          </cell>
        </row>
        <row r="105">
          <cell r="G105">
            <v>2389720</v>
          </cell>
        </row>
        <row r="164">
          <cell r="G164">
            <v>13466</v>
          </cell>
        </row>
        <row r="223">
          <cell r="G223">
            <v>11064</v>
          </cell>
        </row>
        <row r="279">
          <cell r="G279">
            <v>24956</v>
          </cell>
        </row>
        <row r="337">
          <cell r="G337">
            <v>165330</v>
          </cell>
        </row>
        <row r="397">
          <cell r="G397">
            <v>453235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TERVENTORIA"/>
      <sheetName val="FM"/>
      <sheetName val="GASTO"/>
      <sheetName val="AUXILIARTEC"/>
      <sheetName val="PERSOADMIN"/>
      <sheetName val="DIRECTVOS"/>
      <sheetName val="PERSTECNI"/>
      <sheetName val="SAL"/>
      <sheetName val="DEPRE"/>
      <sheetName val="TRANS"/>
      <sheetName val="Hoja6"/>
      <sheetName val="ENS"/>
    </sheetNames>
    <sheetDataSet>
      <sheetData sheetId="0" refreshError="1"/>
      <sheetData sheetId="1" refreshError="1">
        <row r="8">
          <cell r="L8">
            <v>15995898</v>
          </cell>
        </row>
      </sheetData>
      <sheetData sheetId="2" refreshError="1">
        <row r="49">
          <cell r="E49">
            <v>0.10600000000000001</v>
          </cell>
        </row>
      </sheetData>
      <sheetData sheetId="3" refreshError="1">
        <row r="2">
          <cell r="E2">
            <v>4974444.444444445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zaciones Interseccion"/>
      <sheetName val="Ppto Obra Semaforizacion"/>
      <sheetName val="Cotizaciones Insumos Semaforos"/>
      <sheetName val="Apu's preliminares"/>
      <sheetName val="Apu's equipos Nuevos (2)"/>
      <sheetName val="Apu's Semaforos (2)"/>
      <sheetName val="Apu's postes y cableado"/>
      <sheetName val="Apu's obra civil (2)"/>
      <sheetName val="Apu's señalizacion"/>
      <sheetName val="Mano de Obra 2016"/>
      <sheetName val="Interventoria Semaforizacion"/>
      <sheetName val="FACTOR MULT. 2,10"/>
    </sheetNames>
    <sheetDataSet>
      <sheetData sheetId="0"/>
      <sheetData sheetId="1"/>
      <sheetData sheetId="2"/>
      <sheetData sheetId="3"/>
      <sheetData sheetId="4">
        <row r="5">
          <cell r="B5" t="str">
            <v>REPOSICION DE SEMAFORIZACION INTERSECCIONES VIALES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</sheetData>
      <sheetData sheetId="5"/>
      <sheetData sheetId="6"/>
      <sheetData sheetId="7">
        <row r="423">
          <cell r="B423" t="str">
            <v xml:space="preserve">REPOSICION DE SEMAFORIZACION INTERSECCIONES VIALES  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44A"/>
  </sheetPr>
  <dimension ref="A1:N31"/>
  <sheetViews>
    <sheetView topLeftCell="A15" zoomScaleNormal="100" workbookViewId="0">
      <selection activeCell="D25" sqref="D25:I27"/>
    </sheetView>
  </sheetViews>
  <sheetFormatPr baseColWidth="10" defaultColWidth="11" defaultRowHeight="12.75" x14ac:dyDescent="0.25"/>
  <cols>
    <col min="1" max="1" width="4.42578125" style="1" customWidth="1"/>
    <col min="2" max="2" width="46.140625" style="1" customWidth="1"/>
    <col min="3" max="3" width="8.140625" style="1" customWidth="1"/>
    <col min="4" max="4" width="7.28515625" style="1" customWidth="1"/>
    <col min="5" max="5" width="8.7109375" style="2" customWidth="1"/>
    <col min="6" max="6" width="11.42578125" style="3" customWidth="1"/>
    <col min="7" max="7" width="12.5703125" style="1" customWidth="1"/>
    <col min="8" max="8" width="8.28515625" style="1" customWidth="1"/>
    <col min="9" max="9" width="7.28515625" style="1" customWidth="1"/>
    <col min="10" max="10" width="8.7109375" style="2" customWidth="1"/>
    <col min="11" max="11" width="11" style="3" customWidth="1"/>
    <col min="12" max="12" width="14.42578125" style="1" customWidth="1"/>
    <col min="13" max="16384" width="11" style="1"/>
  </cols>
  <sheetData>
    <row r="1" spans="1:14" ht="45" customHeight="1" x14ac:dyDescent="0.25">
      <c r="A1" s="744" t="s">
        <v>605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</row>
    <row r="2" spans="1:14" ht="22.5" customHeight="1" x14ac:dyDescent="0.25">
      <c r="A2" s="745" t="s">
        <v>626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</row>
    <row r="3" spans="1:14" ht="18" customHeight="1" x14ac:dyDescent="0.25">
      <c r="A3" s="746" t="s">
        <v>265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</row>
    <row r="4" spans="1:14" s="6" customFormat="1" ht="18" customHeight="1" x14ac:dyDescent="0.25">
      <c r="A4" s="746" t="s">
        <v>266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</row>
    <row r="5" spans="1:14" s="6" customFormat="1" ht="18" customHeight="1" x14ac:dyDescent="0.25">
      <c r="A5" s="746" t="s">
        <v>267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</row>
    <row r="6" spans="1:14" s="7" customFormat="1" ht="21" customHeight="1" x14ac:dyDescent="0.25">
      <c r="A6" s="743" t="s">
        <v>555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</row>
    <row r="7" spans="1:14" s="214" customFormat="1" ht="18" customHeight="1" x14ac:dyDescent="0.25">
      <c r="A7" s="747" t="s">
        <v>557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</row>
    <row r="8" spans="1:14" s="7" customFormat="1" ht="18.75" customHeight="1" x14ac:dyDescent="0.25">
      <c r="A8" s="748" t="s">
        <v>624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29"/>
    </row>
    <row r="9" spans="1:14" s="7" customFormat="1" ht="19.5" customHeight="1" x14ac:dyDescent="0.25">
      <c r="A9" s="751"/>
      <c r="B9" s="751"/>
      <c r="C9" s="751" t="s">
        <v>627</v>
      </c>
      <c r="D9" s="751"/>
      <c r="E9" s="751"/>
      <c r="F9" s="751"/>
      <c r="G9" s="751"/>
      <c r="H9" s="751" t="s">
        <v>628</v>
      </c>
      <c r="I9" s="751"/>
      <c r="J9" s="751"/>
      <c r="K9" s="751"/>
      <c r="L9" s="751"/>
    </row>
    <row r="10" spans="1:14" ht="33.75" x14ac:dyDescent="0.25">
      <c r="A10" s="734" t="s">
        <v>5</v>
      </c>
      <c r="B10" s="734" t="s">
        <v>9</v>
      </c>
      <c r="C10" s="734" t="s">
        <v>7</v>
      </c>
      <c r="D10" s="734" t="s">
        <v>181</v>
      </c>
      <c r="E10" s="730" t="s">
        <v>0</v>
      </c>
      <c r="F10" s="231" t="s">
        <v>1</v>
      </c>
      <c r="G10" s="731" t="s">
        <v>629</v>
      </c>
      <c r="H10" s="734" t="s">
        <v>7</v>
      </c>
      <c r="I10" s="734" t="s">
        <v>181</v>
      </c>
      <c r="J10" s="730" t="s">
        <v>0</v>
      </c>
      <c r="K10" s="231" t="s">
        <v>1</v>
      </c>
      <c r="L10" s="731" t="s">
        <v>630</v>
      </c>
      <c r="M10" s="6"/>
      <c r="N10" s="6"/>
    </row>
    <row r="11" spans="1:14" s="5" customFormat="1" ht="32.25" customHeight="1" x14ac:dyDescent="0.25">
      <c r="A11" s="17">
        <v>1</v>
      </c>
      <c r="B11" s="216" t="s">
        <v>269</v>
      </c>
      <c r="C11" s="217" t="s">
        <v>13</v>
      </c>
      <c r="D11" s="217">
        <v>2</v>
      </c>
      <c r="E11" s="17">
        <v>1</v>
      </c>
      <c r="F11" s="714">
        <v>244558850</v>
      </c>
      <c r="G11" s="714">
        <f>F11*E11</f>
        <v>244558850</v>
      </c>
      <c r="H11" s="217" t="s">
        <v>13</v>
      </c>
      <c r="I11" s="217">
        <v>2</v>
      </c>
      <c r="J11" s="17">
        <v>1</v>
      </c>
      <c r="K11" s="219">
        <v>879527618</v>
      </c>
      <c r="L11" s="220">
        <f>J11*K11</f>
        <v>879527618</v>
      </c>
    </row>
    <row r="12" spans="1:14" s="5" customFormat="1" ht="32.25" customHeight="1" x14ac:dyDescent="0.25">
      <c r="A12" s="17">
        <v>2</v>
      </c>
      <c r="B12" s="216" t="s">
        <v>270</v>
      </c>
      <c r="C12" s="217" t="s">
        <v>13</v>
      </c>
      <c r="D12" s="217">
        <v>2</v>
      </c>
      <c r="E12" s="17">
        <v>1</v>
      </c>
      <c r="F12" s="714">
        <v>23905245</v>
      </c>
      <c r="G12" s="714">
        <f>F12*E12</f>
        <v>23905245</v>
      </c>
      <c r="H12" s="217" t="s">
        <v>13</v>
      </c>
      <c r="I12" s="217">
        <v>2</v>
      </c>
      <c r="J12" s="17">
        <v>1</v>
      </c>
      <c r="K12" s="219">
        <v>88284564</v>
      </c>
      <c r="L12" s="220">
        <f t="shared" ref="L12" si="0">J12*K12</f>
        <v>88284564</v>
      </c>
    </row>
    <row r="13" spans="1:14" s="222" customFormat="1" x14ac:dyDescent="0.25">
      <c r="A13" s="749" t="s">
        <v>10</v>
      </c>
      <c r="B13" s="749"/>
      <c r="C13" s="749"/>
      <c r="D13" s="749"/>
      <c r="E13" s="749"/>
      <c r="F13" s="749"/>
      <c r="G13" s="221">
        <f>ROUND(SUM(G11:G12),0)</f>
        <v>268464095</v>
      </c>
      <c r="H13" s="750" t="s">
        <v>10</v>
      </c>
      <c r="I13" s="750"/>
      <c r="J13" s="750"/>
      <c r="K13" s="750"/>
      <c r="L13" s="221">
        <f>ROUND(SUM(L11:L12),0)</f>
        <v>967812182</v>
      </c>
    </row>
    <row r="14" spans="1:14" s="7" customFormat="1" ht="18.75" customHeight="1" x14ac:dyDescent="0.25">
      <c r="A14" s="743" t="s">
        <v>556</v>
      </c>
      <c r="B14" s="743"/>
      <c r="C14" s="743"/>
      <c r="D14" s="743"/>
      <c r="E14" s="743"/>
      <c r="F14" s="743"/>
      <c r="G14" s="743"/>
      <c r="H14" s="743"/>
      <c r="I14" s="743"/>
      <c r="J14" s="743"/>
      <c r="K14" s="743"/>
      <c r="L14" s="743"/>
    </row>
    <row r="15" spans="1:14" s="214" customFormat="1" ht="18.75" customHeight="1" x14ac:dyDescent="0.25">
      <c r="A15" s="747" t="s">
        <v>558</v>
      </c>
      <c r="B15" s="747"/>
      <c r="C15" s="747"/>
      <c r="D15" s="747"/>
      <c r="E15" s="747"/>
      <c r="F15" s="747"/>
      <c r="G15" s="747"/>
      <c r="H15" s="747"/>
      <c r="I15" s="747"/>
      <c r="J15" s="747"/>
      <c r="K15" s="747"/>
      <c r="L15" s="747"/>
    </row>
    <row r="16" spans="1:14" s="7" customFormat="1" ht="20.25" customHeight="1" x14ac:dyDescent="0.25">
      <c r="A16" s="748" t="s">
        <v>624</v>
      </c>
      <c r="B16" s="748"/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29"/>
    </row>
    <row r="17" spans="1:14" s="7" customFormat="1" ht="18.75" customHeight="1" x14ac:dyDescent="0.25">
      <c r="A17" s="751"/>
      <c r="B17" s="751"/>
      <c r="C17" s="751" t="s">
        <v>627</v>
      </c>
      <c r="D17" s="751"/>
      <c r="E17" s="751"/>
      <c r="F17" s="751"/>
      <c r="G17" s="751"/>
      <c r="H17" s="751" t="s">
        <v>628</v>
      </c>
      <c r="I17" s="751"/>
      <c r="J17" s="751"/>
      <c r="K17" s="751"/>
      <c r="L17" s="751"/>
    </row>
    <row r="18" spans="1:14" ht="33.75" x14ac:dyDescent="0.25">
      <c r="A18" s="734" t="s">
        <v>5</v>
      </c>
      <c r="B18" s="734" t="s">
        <v>9</v>
      </c>
      <c r="C18" s="734" t="s">
        <v>7</v>
      </c>
      <c r="D18" s="734" t="s">
        <v>181</v>
      </c>
      <c r="E18" s="730" t="s">
        <v>0</v>
      </c>
      <c r="F18" s="231" t="s">
        <v>1</v>
      </c>
      <c r="G18" s="731" t="s">
        <v>629</v>
      </c>
      <c r="H18" s="734" t="s">
        <v>7</v>
      </c>
      <c r="I18" s="734" t="s">
        <v>181</v>
      </c>
      <c r="J18" s="730" t="s">
        <v>0</v>
      </c>
      <c r="K18" s="231" t="s">
        <v>1</v>
      </c>
      <c r="L18" s="731" t="s">
        <v>630</v>
      </c>
      <c r="M18" s="6"/>
      <c r="N18" s="6"/>
    </row>
    <row r="19" spans="1:14" s="223" customFormat="1" ht="38.25" customHeight="1" x14ac:dyDescent="0.2">
      <c r="A19" s="224">
        <v>4</v>
      </c>
      <c r="B19" s="197" t="s">
        <v>268</v>
      </c>
      <c r="C19" s="217" t="s">
        <v>13</v>
      </c>
      <c r="D19" s="217">
        <v>1</v>
      </c>
      <c r="E19" s="225">
        <v>1</v>
      </c>
      <c r="F19" s="713">
        <v>55954373</v>
      </c>
      <c r="G19" s="712">
        <f>E19*F19</f>
        <v>55954373</v>
      </c>
      <c r="H19" s="217" t="s">
        <v>13</v>
      </c>
      <c r="I19" s="217">
        <v>1</v>
      </c>
      <c r="J19" s="225">
        <v>1</v>
      </c>
      <c r="K19" s="219">
        <v>58951812.86666666</v>
      </c>
      <c r="L19" s="219">
        <f>J19*K19</f>
        <v>58951812.86666666</v>
      </c>
    </row>
    <row r="20" spans="1:14" s="222" customFormat="1" x14ac:dyDescent="0.25">
      <c r="A20" s="749" t="s">
        <v>10</v>
      </c>
      <c r="B20" s="749"/>
      <c r="C20" s="749"/>
      <c r="D20" s="749"/>
      <c r="E20" s="749"/>
      <c r="F20" s="749"/>
      <c r="G20" s="221">
        <f>ROUND(SUM(G19),0)</f>
        <v>55954373</v>
      </c>
      <c r="H20" s="754" t="s">
        <v>10</v>
      </c>
      <c r="I20" s="754"/>
      <c r="J20" s="754"/>
      <c r="K20" s="754"/>
      <c r="L20" s="221">
        <f>ROUND(SUM(L19),0)</f>
        <v>58951813</v>
      </c>
    </row>
    <row r="21" spans="1:14" ht="15.75" x14ac:dyDescent="0.25">
      <c r="A21" s="752" t="s">
        <v>629</v>
      </c>
      <c r="B21" s="752"/>
      <c r="C21" s="752"/>
      <c r="D21" s="752"/>
      <c r="E21" s="752"/>
      <c r="F21" s="752"/>
      <c r="G21" s="733">
        <f>G13+G20</f>
        <v>324418468</v>
      </c>
      <c r="H21" s="753" t="s">
        <v>630</v>
      </c>
      <c r="I21" s="753"/>
      <c r="J21" s="753"/>
      <c r="K21" s="753"/>
      <c r="L21" s="733">
        <f>L13+L20</f>
        <v>1026763995</v>
      </c>
    </row>
    <row r="22" spans="1:14" ht="22.5" customHeight="1" x14ac:dyDescent="0.25">
      <c r="A22" s="22"/>
      <c r="B22" s="22"/>
      <c r="C22" s="22"/>
      <c r="D22" s="22"/>
      <c r="E22" s="22"/>
      <c r="F22" s="22"/>
      <c r="G22" s="21"/>
      <c r="H22" s="22"/>
      <c r="I22" s="22"/>
      <c r="J22" s="22"/>
      <c r="K22" s="22"/>
      <c r="L22" s="21"/>
    </row>
    <row r="23" spans="1:14" ht="12" customHeight="1" x14ac:dyDescent="0.25">
      <c r="G23" s="19" t="e">
        <f>#REF!+#REF!+#REF!+#REF!+#REF!</f>
        <v>#REF!</v>
      </c>
      <c r="H23" s="198"/>
      <c r="J23" s="199" t="s">
        <v>260</v>
      </c>
      <c r="K23" s="200" t="e">
        <f>#REF!+#REF!</f>
        <v>#REF!</v>
      </c>
    </row>
    <row r="24" spans="1:14" ht="12" customHeight="1" x14ac:dyDescent="0.25">
      <c r="G24" s="202">
        <v>1025238397</v>
      </c>
      <c r="H24" s="201" t="s">
        <v>258</v>
      </c>
      <c r="J24" s="199" t="s">
        <v>259</v>
      </c>
      <c r="K24" s="200" t="e">
        <f>#REF!+#REF!+#REF!+#REF!</f>
        <v>#REF!</v>
      </c>
    </row>
    <row r="25" spans="1:14" ht="113.25" customHeight="1" x14ac:dyDescent="0.25">
      <c r="D25" s="737"/>
      <c r="E25" s="739"/>
      <c r="F25" s="727" t="s">
        <v>618</v>
      </c>
      <c r="G25" s="740"/>
      <c r="H25" s="737"/>
      <c r="I25" s="737"/>
    </row>
    <row r="26" spans="1:14" ht="15.75" customHeight="1" x14ac:dyDescent="0.25">
      <c r="D26" s="737"/>
      <c r="E26" s="739"/>
      <c r="F26" s="728" t="s">
        <v>619</v>
      </c>
      <c r="G26" s="740"/>
      <c r="H26" s="737"/>
      <c r="I26" s="737"/>
    </row>
    <row r="27" spans="1:14" ht="18" x14ac:dyDescent="0.25">
      <c r="B27" s="209"/>
      <c r="D27" s="737"/>
      <c r="E27" s="737"/>
      <c r="F27" s="738"/>
      <c r="G27" s="741"/>
      <c r="H27" s="737"/>
      <c r="I27" s="737"/>
      <c r="J27" s="4"/>
    </row>
    <row r="28" spans="1:14" x14ac:dyDescent="0.25">
      <c r="B28" s="210"/>
      <c r="E28" s="1"/>
      <c r="G28" s="25"/>
      <c r="J28" s="1"/>
    </row>
    <row r="29" spans="1:14" x14ac:dyDescent="0.25">
      <c r="B29" s="9"/>
    </row>
    <row r="30" spans="1:14" x14ac:dyDescent="0.25">
      <c r="B30" s="9"/>
    </row>
    <row r="31" spans="1:14" x14ac:dyDescent="0.25">
      <c r="B31" s="9"/>
    </row>
  </sheetData>
  <mergeCells count="23">
    <mergeCell ref="A21:F21"/>
    <mergeCell ref="H21:K21"/>
    <mergeCell ref="A14:L14"/>
    <mergeCell ref="A15:L15"/>
    <mergeCell ref="A16:L16"/>
    <mergeCell ref="A20:F20"/>
    <mergeCell ref="H20:K20"/>
    <mergeCell ref="A17:B17"/>
    <mergeCell ref="C17:G17"/>
    <mergeCell ref="H17:L17"/>
    <mergeCell ref="A7:L7"/>
    <mergeCell ref="A8:L8"/>
    <mergeCell ref="A13:F13"/>
    <mergeCell ref="H13:K13"/>
    <mergeCell ref="A9:B9"/>
    <mergeCell ref="C9:G9"/>
    <mergeCell ref="H9:L9"/>
    <mergeCell ref="A6:L6"/>
    <mergeCell ref="A1:L1"/>
    <mergeCell ref="A2:L2"/>
    <mergeCell ref="A3:L3"/>
    <mergeCell ref="A4:L4"/>
    <mergeCell ref="A5:L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B1:K49"/>
  <sheetViews>
    <sheetView topLeftCell="A28" zoomScale="70" zoomScaleNormal="70" workbookViewId="0">
      <selection activeCell="E45" sqref="E45:E46"/>
    </sheetView>
  </sheetViews>
  <sheetFormatPr baseColWidth="10" defaultColWidth="11.42578125" defaultRowHeight="14.25" x14ac:dyDescent="0.25"/>
  <cols>
    <col min="1" max="1" width="11.42578125" style="578"/>
    <col min="2" max="2" width="11.5703125" style="625" bestFit="1" customWidth="1"/>
    <col min="3" max="3" width="63" style="578" customWidth="1"/>
    <col min="4" max="4" width="16.28515625" style="626" customWidth="1"/>
    <col min="5" max="5" width="14.5703125" style="578" customWidth="1"/>
    <col min="6" max="6" width="12.5703125" style="578" customWidth="1"/>
    <col min="7" max="7" width="20" style="627" customWidth="1"/>
    <col min="8" max="8" width="27.28515625" style="628" customWidth="1"/>
    <col min="9" max="9" width="18.5703125" style="629" customWidth="1"/>
    <col min="10" max="10" width="11.42578125" style="578"/>
    <col min="11" max="11" width="28.85546875" style="578" bestFit="1" customWidth="1"/>
    <col min="12" max="16384" width="11.42578125" style="578"/>
  </cols>
  <sheetData>
    <row r="1" spans="2:11" s="576" customFormat="1" ht="35.25" customHeight="1" x14ac:dyDescent="0.25">
      <c r="B1" s="853" t="s">
        <v>604</v>
      </c>
      <c r="C1" s="854"/>
      <c r="D1" s="854"/>
      <c r="E1" s="854"/>
      <c r="F1" s="854"/>
      <c r="G1" s="854"/>
      <c r="H1" s="854"/>
      <c r="I1" s="855"/>
    </row>
    <row r="2" spans="2:11" s="577" customFormat="1" ht="30" x14ac:dyDescent="0.25">
      <c r="B2" s="640" t="s">
        <v>5</v>
      </c>
      <c r="C2" s="640" t="s">
        <v>8</v>
      </c>
      <c r="D2" s="640" t="s">
        <v>7</v>
      </c>
      <c r="E2" s="640" t="s">
        <v>561</v>
      </c>
      <c r="F2" s="640" t="s">
        <v>562</v>
      </c>
      <c r="G2" s="641" t="s">
        <v>563</v>
      </c>
      <c r="H2" s="642" t="s">
        <v>564</v>
      </c>
      <c r="I2" s="643" t="s">
        <v>565</v>
      </c>
    </row>
    <row r="3" spans="2:11" ht="22.5" customHeight="1" x14ac:dyDescent="0.25">
      <c r="B3" s="856" t="s">
        <v>566</v>
      </c>
      <c r="C3" s="857"/>
      <c r="D3" s="857"/>
      <c r="E3" s="857"/>
      <c r="F3" s="857"/>
      <c r="G3" s="857"/>
      <c r="H3" s="858"/>
      <c r="I3" s="644"/>
    </row>
    <row r="4" spans="2:11" ht="22.5" customHeight="1" x14ac:dyDescent="0.25">
      <c r="B4" s="635">
        <v>1</v>
      </c>
      <c r="C4" s="635" t="s">
        <v>567</v>
      </c>
      <c r="D4" s="636"/>
      <c r="E4" s="637"/>
      <c r="F4" s="637"/>
      <c r="G4" s="638"/>
      <c r="H4" s="639"/>
      <c r="I4" s="644"/>
    </row>
    <row r="5" spans="2:11" ht="15" x14ac:dyDescent="0.25">
      <c r="B5" s="645">
        <v>1.1000000000000001</v>
      </c>
      <c r="C5" s="584" t="s">
        <v>587</v>
      </c>
      <c r="D5" s="585" t="s">
        <v>568</v>
      </c>
      <c r="E5" s="586">
        <v>3</v>
      </c>
      <c r="F5" s="587">
        <v>0.5</v>
      </c>
      <c r="G5" s="588">
        <v>5000000</v>
      </c>
      <c r="H5" s="589">
        <f>+E5*F5*G5</f>
        <v>7500000</v>
      </c>
      <c r="I5" s="646"/>
      <c r="K5" s="590"/>
    </row>
    <row r="6" spans="2:11" ht="15" x14ac:dyDescent="0.25">
      <c r="B6" s="645">
        <v>1.2000000000000002</v>
      </c>
      <c r="C6" s="584" t="s">
        <v>588</v>
      </c>
      <c r="D6" s="585" t="s">
        <v>568</v>
      </c>
      <c r="E6" s="586">
        <v>3</v>
      </c>
      <c r="F6" s="587">
        <v>1</v>
      </c>
      <c r="G6" s="588">
        <v>4500000</v>
      </c>
      <c r="H6" s="589">
        <f>+E6*F6*G6</f>
        <v>13500000</v>
      </c>
      <c r="I6" s="646"/>
    </row>
    <row r="7" spans="2:11" ht="15" x14ac:dyDescent="0.25">
      <c r="B7" s="645">
        <v>1.3</v>
      </c>
      <c r="C7" s="584" t="s">
        <v>589</v>
      </c>
      <c r="D7" s="585" t="s">
        <v>568</v>
      </c>
      <c r="E7" s="586">
        <v>3</v>
      </c>
      <c r="F7" s="587">
        <v>1</v>
      </c>
      <c r="G7" s="588">
        <v>3500000</v>
      </c>
      <c r="H7" s="589">
        <f>+E7*F7*G7</f>
        <v>10500000</v>
      </c>
      <c r="I7" s="646"/>
    </row>
    <row r="8" spans="2:11" ht="15" x14ac:dyDescent="0.25">
      <c r="B8" s="645">
        <v>1.4</v>
      </c>
      <c r="C8" s="591" t="s">
        <v>77</v>
      </c>
      <c r="D8" s="585" t="s">
        <v>568</v>
      </c>
      <c r="E8" s="586">
        <v>3</v>
      </c>
      <c r="F8" s="587">
        <v>1</v>
      </c>
      <c r="G8" s="588">
        <v>1600000</v>
      </c>
      <c r="H8" s="589">
        <f>+E8*F8*G8</f>
        <v>4800000</v>
      </c>
      <c r="I8" s="646"/>
    </row>
    <row r="9" spans="2:11" ht="15.75" x14ac:dyDescent="0.25">
      <c r="B9" s="859" t="s">
        <v>46</v>
      </c>
      <c r="C9" s="832"/>
      <c r="D9" s="832"/>
      <c r="E9" s="832"/>
      <c r="F9" s="832"/>
      <c r="G9" s="833"/>
      <c r="H9" s="592">
        <f>SUM(H5:H8)</f>
        <v>36300000</v>
      </c>
      <c r="I9" s="646"/>
    </row>
    <row r="10" spans="2:11" x14ac:dyDescent="0.25">
      <c r="B10" s="647" t="s">
        <v>569</v>
      </c>
      <c r="C10" s="593"/>
      <c r="D10" s="594"/>
      <c r="E10" s="593"/>
      <c r="F10" s="593"/>
      <c r="G10" s="595"/>
      <c r="H10" s="596"/>
      <c r="I10" s="646"/>
    </row>
    <row r="11" spans="2:11" x14ac:dyDescent="0.25">
      <c r="B11" s="648"/>
      <c r="C11" s="593"/>
      <c r="D11" s="594"/>
      <c r="E11" s="593"/>
      <c r="F11" s="593"/>
      <c r="G11" s="595"/>
      <c r="H11" s="596"/>
      <c r="I11" s="646"/>
    </row>
    <row r="12" spans="2:11" s="597" customFormat="1" ht="30" x14ac:dyDescent="0.25">
      <c r="B12" s="640" t="s">
        <v>5</v>
      </c>
      <c r="C12" s="640" t="s">
        <v>8</v>
      </c>
      <c r="D12" s="640" t="s">
        <v>7</v>
      </c>
      <c r="E12" s="640" t="s">
        <v>0</v>
      </c>
      <c r="F12" s="640"/>
      <c r="G12" s="641" t="s">
        <v>563</v>
      </c>
      <c r="H12" s="642" t="s">
        <v>564</v>
      </c>
      <c r="I12" s="643"/>
    </row>
    <row r="13" spans="2:11" ht="15" x14ac:dyDescent="0.25">
      <c r="B13" s="579">
        <v>2</v>
      </c>
      <c r="C13" s="579" t="s">
        <v>570</v>
      </c>
      <c r="D13" s="580"/>
      <c r="E13" s="581"/>
      <c r="F13" s="581"/>
      <c r="G13" s="582"/>
      <c r="H13" s="583"/>
      <c r="I13" s="644"/>
      <c r="K13" s="720"/>
    </row>
    <row r="14" spans="2:11" ht="42.75" x14ac:dyDescent="0.25">
      <c r="B14" s="649" t="s">
        <v>289</v>
      </c>
      <c r="C14" s="598" t="s">
        <v>571</v>
      </c>
      <c r="D14" s="599" t="s">
        <v>572</v>
      </c>
      <c r="E14" s="600">
        <v>1</v>
      </c>
      <c r="F14" s="584"/>
      <c r="G14" s="588">
        <f>8849821.38400003+203368.95</f>
        <v>9053190.3340000287</v>
      </c>
      <c r="H14" s="589">
        <f>G14</f>
        <v>9053190.3340000287</v>
      </c>
      <c r="I14" s="646"/>
    </row>
    <row r="15" spans="2:11" ht="15" x14ac:dyDescent="0.25">
      <c r="B15" s="649" t="s">
        <v>291</v>
      </c>
      <c r="C15" s="584" t="s">
        <v>573</v>
      </c>
      <c r="D15" s="599" t="s">
        <v>568</v>
      </c>
      <c r="E15" s="600">
        <v>3</v>
      </c>
      <c r="F15" s="584"/>
      <c r="G15" s="588">
        <v>100000</v>
      </c>
      <c r="H15" s="589">
        <f>+E15*G15</f>
        <v>300000</v>
      </c>
      <c r="I15" s="646"/>
    </row>
    <row r="16" spans="2:11" ht="15" x14ac:dyDescent="0.25">
      <c r="B16" s="649" t="s">
        <v>293</v>
      </c>
      <c r="C16" s="584" t="s">
        <v>574</v>
      </c>
      <c r="D16" s="599" t="s">
        <v>572</v>
      </c>
      <c r="E16" s="600">
        <v>1</v>
      </c>
      <c r="F16" s="584"/>
      <c r="G16" s="588">
        <v>100000</v>
      </c>
      <c r="H16" s="589">
        <f>+E16*G16</f>
        <v>100000</v>
      </c>
      <c r="I16" s="646"/>
    </row>
    <row r="17" spans="2:11" ht="15.75" x14ac:dyDescent="0.25">
      <c r="B17" s="859" t="s">
        <v>46</v>
      </c>
      <c r="C17" s="832"/>
      <c r="D17" s="832"/>
      <c r="E17" s="832"/>
      <c r="F17" s="832"/>
      <c r="G17" s="833"/>
      <c r="H17" s="592">
        <f>SUM(H14:H16)</f>
        <v>9453190.3340000287</v>
      </c>
      <c r="I17" s="646"/>
    </row>
    <row r="18" spans="2:11" x14ac:dyDescent="0.25">
      <c r="B18" s="648"/>
      <c r="C18" s="593"/>
      <c r="D18" s="594"/>
      <c r="E18" s="593"/>
      <c r="F18" s="593"/>
      <c r="G18" s="595"/>
      <c r="H18" s="596"/>
      <c r="I18" s="646"/>
    </row>
    <row r="19" spans="2:11" s="597" customFormat="1" ht="15" x14ac:dyDescent="0.25">
      <c r="B19" s="640">
        <v>3</v>
      </c>
      <c r="C19" s="640" t="s">
        <v>575</v>
      </c>
      <c r="D19" s="640"/>
      <c r="E19" s="640"/>
      <c r="F19" s="640"/>
      <c r="G19" s="641"/>
      <c r="H19" s="642" t="s">
        <v>564</v>
      </c>
      <c r="I19" s="643"/>
      <c r="J19" s="601"/>
    </row>
    <row r="20" spans="2:11" s="606" customFormat="1" ht="15.75" x14ac:dyDescent="0.25">
      <c r="B20" s="650">
        <v>3</v>
      </c>
      <c r="C20" s="602" t="s">
        <v>576</v>
      </c>
      <c r="D20" s="603"/>
      <c r="E20" s="603"/>
      <c r="F20" s="603"/>
      <c r="G20" s="604"/>
      <c r="H20" s="605">
        <f>H45*15.6%</f>
        <v>62609628.744000003</v>
      </c>
      <c r="I20" s="651"/>
    </row>
    <row r="21" spans="2:11" s="606" customFormat="1" ht="15" x14ac:dyDescent="0.25">
      <c r="B21" s="650">
        <v>3.1</v>
      </c>
      <c r="C21" s="607" t="s">
        <v>171</v>
      </c>
      <c r="D21" s="603"/>
      <c r="E21" s="603"/>
      <c r="F21" s="608">
        <v>0.02</v>
      </c>
      <c r="G21" s="604"/>
      <c r="H21" s="609">
        <f t="shared" ref="H21:H28" si="0">F21*$H$45</f>
        <v>8026875.4800000004</v>
      </c>
      <c r="I21" s="651"/>
    </row>
    <row r="22" spans="2:11" s="606" customFormat="1" ht="15" x14ac:dyDescent="0.25">
      <c r="B22" s="650">
        <v>3.2</v>
      </c>
      <c r="C22" s="607" t="s">
        <v>172</v>
      </c>
      <c r="D22" s="603"/>
      <c r="E22" s="603"/>
      <c r="F22" s="608">
        <v>0.02</v>
      </c>
      <c r="G22" s="604"/>
      <c r="H22" s="609">
        <f t="shared" si="0"/>
        <v>8026875.4800000004</v>
      </c>
      <c r="I22" s="651"/>
    </row>
    <row r="23" spans="2:11" s="606" customFormat="1" ht="15" x14ac:dyDescent="0.25">
      <c r="B23" s="650">
        <v>3.3</v>
      </c>
      <c r="C23" s="607" t="s">
        <v>173</v>
      </c>
      <c r="D23" s="603"/>
      <c r="E23" s="603"/>
      <c r="F23" s="608">
        <v>1.4999999999999999E-2</v>
      </c>
      <c r="G23" s="604"/>
      <c r="H23" s="609">
        <f t="shared" si="0"/>
        <v>6020156.6099999994</v>
      </c>
      <c r="I23" s="651"/>
    </row>
    <row r="24" spans="2:11" s="606" customFormat="1" ht="15" x14ac:dyDescent="0.25">
      <c r="B24" s="650">
        <v>3.4</v>
      </c>
      <c r="C24" s="607" t="s">
        <v>174</v>
      </c>
      <c r="D24" s="603"/>
      <c r="E24" s="603"/>
      <c r="F24" s="608">
        <v>5.0000000000000001E-3</v>
      </c>
      <c r="G24" s="604"/>
      <c r="H24" s="609">
        <f t="shared" si="0"/>
        <v>2006718.87</v>
      </c>
      <c r="I24" s="651"/>
    </row>
    <row r="25" spans="2:11" s="606" customFormat="1" ht="15" x14ac:dyDescent="0.25">
      <c r="B25" s="650">
        <v>3.5</v>
      </c>
      <c r="C25" s="607" t="s">
        <v>175</v>
      </c>
      <c r="D25" s="603"/>
      <c r="E25" s="603"/>
      <c r="F25" s="608">
        <v>0.02</v>
      </c>
      <c r="G25" s="604"/>
      <c r="H25" s="609">
        <f t="shared" si="0"/>
        <v>8026875.4800000004</v>
      </c>
      <c r="I25" s="651"/>
    </row>
    <row r="26" spans="2:11" s="606" customFormat="1" ht="15" x14ac:dyDescent="0.25">
      <c r="B26" s="650">
        <v>3.6</v>
      </c>
      <c r="C26" s="607" t="s">
        <v>176</v>
      </c>
      <c r="D26" s="603"/>
      <c r="E26" s="603"/>
      <c r="F26" s="608">
        <v>0.02</v>
      </c>
      <c r="G26" s="604"/>
      <c r="H26" s="609">
        <f t="shared" si="0"/>
        <v>8026875.4800000004</v>
      </c>
      <c r="I26" s="651"/>
    </row>
    <row r="27" spans="2:11" s="606" customFormat="1" ht="15" x14ac:dyDescent="0.25">
      <c r="B27" s="650">
        <v>3.7</v>
      </c>
      <c r="C27" s="607" t="s">
        <v>177</v>
      </c>
      <c r="D27" s="603"/>
      <c r="E27" s="603"/>
      <c r="F27" s="608">
        <v>6.0000000000000001E-3</v>
      </c>
      <c r="G27" s="604"/>
      <c r="H27" s="609">
        <f t="shared" si="0"/>
        <v>2408062.6439999999</v>
      </c>
      <c r="I27" s="651"/>
    </row>
    <row r="28" spans="2:11" s="606" customFormat="1" ht="15" x14ac:dyDescent="0.25">
      <c r="B28" s="650">
        <v>3.8</v>
      </c>
      <c r="C28" s="607" t="s">
        <v>178</v>
      </c>
      <c r="D28" s="603"/>
      <c r="E28" s="603"/>
      <c r="F28" s="608">
        <v>0.05</v>
      </c>
      <c r="G28" s="604"/>
      <c r="H28" s="609">
        <f t="shared" si="0"/>
        <v>20067188.699999999</v>
      </c>
      <c r="I28" s="651"/>
    </row>
    <row r="29" spans="2:11" ht="20.25" x14ac:dyDescent="0.25">
      <c r="B29" s="859" t="s">
        <v>577</v>
      </c>
      <c r="C29" s="832"/>
      <c r="D29" s="832"/>
      <c r="E29" s="832"/>
      <c r="F29" s="832"/>
      <c r="G29" s="833"/>
      <c r="H29" s="592">
        <f>+H20+H17+H9</f>
        <v>108362819.07800004</v>
      </c>
      <c r="I29" s="654">
        <f>+H29/H45</f>
        <v>0.27000000024417981</v>
      </c>
      <c r="K29" s="610"/>
    </row>
    <row r="30" spans="2:11" ht="15" customHeight="1" x14ac:dyDescent="0.25">
      <c r="B30" s="648"/>
      <c r="C30" s="593"/>
      <c r="D30" s="594"/>
      <c r="E30" s="593"/>
      <c r="F30" s="593"/>
      <c r="G30" s="595"/>
      <c r="H30" s="596"/>
      <c r="I30" s="652"/>
    </row>
    <row r="31" spans="2:11" s="597" customFormat="1" ht="20.25" x14ac:dyDescent="0.25">
      <c r="B31" s="850" t="s">
        <v>578</v>
      </c>
      <c r="C31" s="851"/>
      <c r="D31" s="851"/>
      <c r="E31" s="851"/>
      <c r="F31" s="851"/>
      <c r="G31" s="851"/>
      <c r="H31" s="852"/>
      <c r="I31" s="655"/>
      <c r="K31" s="578"/>
    </row>
    <row r="32" spans="2:11" ht="20.25" x14ac:dyDescent="0.25">
      <c r="B32" s="579">
        <v>1</v>
      </c>
      <c r="C32" s="611" t="s">
        <v>579</v>
      </c>
      <c r="D32" s="612"/>
      <c r="E32" s="613"/>
      <c r="F32" s="613"/>
      <c r="G32" s="614" t="s">
        <v>563</v>
      </c>
      <c r="H32" s="583" t="s">
        <v>564</v>
      </c>
      <c r="I32" s="653"/>
    </row>
    <row r="33" spans="2:11" s="606" customFormat="1" ht="20.25" x14ac:dyDescent="0.25">
      <c r="B33" s="645">
        <v>1.1000000000000001</v>
      </c>
      <c r="C33" s="615" t="s">
        <v>580</v>
      </c>
      <c r="D33" s="616"/>
      <c r="E33" s="617"/>
      <c r="F33" s="618"/>
      <c r="G33" s="589">
        <f>H45*2%</f>
        <v>8026875.4800000004</v>
      </c>
      <c r="H33" s="589">
        <f>G33</f>
        <v>8026875.4800000004</v>
      </c>
      <c r="I33" s="652"/>
      <c r="K33" s="578"/>
    </row>
    <row r="34" spans="2:11" ht="20.25" x14ac:dyDescent="0.25">
      <c r="B34" s="846" t="s">
        <v>581</v>
      </c>
      <c r="C34" s="846"/>
      <c r="D34" s="846"/>
      <c r="E34" s="846"/>
      <c r="F34" s="846"/>
      <c r="G34" s="846"/>
      <c r="H34" s="592">
        <f>SUM(H33:H33)</f>
        <v>8026875.4800000004</v>
      </c>
      <c r="I34" s="654">
        <f>+H34/H45</f>
        <v>0.02</v>
      </c>
    </row>
    <row r="35" spans="2:11" ht="15" customHeight="1" x14ac:dyDescent="0.25">
      <c r="B35" s="648"/>
      <c r="C35" s="593"/>
      <c r="D35" s="594"/>
      <c r="E35" s="593"/>
      <c r="F35" s="593"/>
      <c r="G35" s="595"/>
      <c r="H35" s="596"/>
      <c r="I35" s="652"/>
    </row>
    <row r="36" spans="2:11" s="597" customFormat="1" ht="20.25" x14ac:dyDescent="0.25">
      <c r="B36" s="850" t="s">
        <v>582</v>
      </c>
      <c r="C36" s="851"/>
      <c r="D36" s="851"/>
      <c r="E36" s="851"/>
      <c r="F36" s="851"/>
      <c r="G36" s="851"/>
      <c r="H36" s="852"/>
      <c r="I36" s="655"/>
      <c r="K36" s="578"/>
    </row>
    <row r="37" spans="2:11" ht="20.25" x14ac:dyDescent="0.25">
      <c r="B37" s="649">
        <v>1</v>
      </c>
      <c r="C37" s="615" t="s">
        <v>583</v>
      </c>
      <c r="D37" s="619"/>
      <c r="E37" s="620"/>
      <c r="F37" s="621"/>
      <c r="G37" s="622">
        <f>H45*6%</f>
        <v>24080626.439999998</v>
      </c>
      <c r="H37" s="623">
        <f>+G37</f>
        <v>24080626.439999998</v>
      </c>
      <c r="I37" s="652"/>
    </row>
    <row r="38" spans="2:11" ht="20.25" x14ac:dyDescent="0.25">
      <c r="B38" s="846" t="s">
        <v>584</v>
      </c>
      <c r="C38" s="846"/>
      <c r="D38" s="846"/>
      <c r="E38" s="846"/>
      <c r="F38" s="846"/>
      <c r="G38" s="846"/>
      <c r="H38" s="592">
        <f>SUM(H37:H37)</f>
        <v>24080626.439999998</v>
      </c>
      <c r="I38" s="654">
        <f>+H38/H45</f>
        <v>5.9999999999999991E-2</v>
      </c>
    </row>
    <row r="39" spans="2:11" ht="20.25" x14ac:dyDescent="0.25">
      <c r="B39" s="648"/>
      <c r="C39" s="593"/>
      <c r="D39" s="594"/>
      <c r="E39" s="593"/>
      <c r="F39" s="593"/>
      <c r="G39" s="595"/>
      <c r="H39" s="596"/>
      <c r="I39" s="652"/>
    </row>
    <row r="40" spans="2:11" ht="20.25" x14ac:dyDescent="0.25">
      <c r="B40" s="846" t="s">
        <v>585</v>
      </c>
      <c r="C40" s="846"/>
      <c r="D40" s="846"/>
      <c r="E40" s="846"/>
      <c r="F40" s="846"/>
      <c r="G40" s="846"/>
      <c r="H40" s="624">
        <f>+H38+H34+H29</f>
        <v>140470320.99800003</v>
      </c>
      <c r="I40" s="654">
        <f>SUM(I38+I34+I29)</f>
        <v>0.35000000024417977</v>
      </c>
    </row>
    <row r="41" spans="2:11" ht="18" x14ac:dyDescent="0.25">
      <c r="B41" s="859" t="s">
        <v>257</v>
      </c>
      <c r="C41" s="832"/>
      <c r="D41" s="832"/>
      <c r="E41" s="832"/>
      <c r="F41" s="832"/>
      <c r="G41" s="833"/>
      <c r="H41" s="624">
        <f>H45</f>
        <v>401343774</v>
      </c>
      <c r="I41" s="717"/>
    </row>
    <row r="42" spans="2:11" ht="18" x14ac:dyDescent="0.25">
      <c r="B42" s="847" t="s">
        <v>586</v>
      </c>
      <c r="C42" s="848"/>
      <c r="D42" s="848"/>
      <c r="E42" s="848"/>
      <c r="F42" s="848"/>
      <c r="G42" s="849"/>
      <c r="H42" s="656">
        <f>H45+H40</f>
        <v>541814094.99800003</v>
      </c>
      <c r="I42" s="718"/>
    </row>
    <row r="44" spans="2:11" ht="96.75" customHeight="1" x14ac:dyDescent="0.25">
      <c r="D44" s="578"/>
      <c r="G44" s="721"/>
      <c r="H44" s="633"/>
      <c r="I44" s="634"/>
      <c r="J44" s="597"/>
    </row>
    <row r="45" spans="2:11" ht="18" customHeight="1" x14ac:dyDescent="0.25">
      <c r="D45" s="725"/>
      <c r="E45" s="727" t="s">
        <v>618</v>
      </c>
      <c r="F45" s="725"/>
      <c r="G45" s="721"/>
      <c r="H45" s="633">
        <v>401343774</v>
      </c>
      <c r="I45" s="634" t="s">
        <v>257</v>
      </c>
      <c r="J45" s="597"/>
    </row>
    <row r="46" spans="2:11" ht="16.5" customHeight="1" x14ac:dyDescent="0.25">
      <c r="D46" s="726"/>
      <c r="E46" s="728" t="s">
        <v>619</v>
      </c>
      <c r="F46" s="726"/>
      <c r="G46" s="721"/>
      <c r="H46" s="633">
        <v>140470321</v>
      </c>
      <c r="I46" s="634" t="s">
        <v>117</v>
      </c>
      <c r="J46" s="597"/>
    </row>
    <row r="47" spans="2:11" ht="18" customHeight="1" x14ac:dyDescent="0.25">
      <c r="G47" s="721"/>
      <c r="H47" s="633">
        <v>541814095</v>
      </c>
      <c r="I47" s="634" t="s">
        <v>16</v>
      </c>
      <c r="J47" s="597"/>
    </row>
    <row r="48" spans="2:11" x14ac:dyDescent="0.25">
      <c r="G48" s="721"/>
      <c r="H48" s="633"/>
      <c r="I48" s="634"/>
      <c r="J48" s="597"/>
    </row>
    <row r="49" spans="7:10" x14ac:dyDescent="0.25">
      <c r="G49" s="630"/>
      <c r="H49" s="631"/>
      <c r="I49" s="632"/>
      <c r="J49" s="719"/>
    </row>
  </sheetData>
  <mergeCells count="12">
    <mergeCell ref="B42:G42"/>
    <mergeCell ref="B31:H31"/>
    <mergeCell ref="B1:I1"/>
    <mergeCell ref="B3:H3"/>
    <mergeCell ref="B9:G9"/>
    <mergeCell ref="B17:G17"/>
    <mergeCell ref="B29:G29"/>
    <mergeCell ref="B34:G34"/>
    <mergeCell ref="B36:H36"/>
    <mergeCell ref="B38:G38"/>
    <mergeCell ref="B40:G40"/>
    <mergeCell ref="B41:G4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A1:J45"/>
  <sheetViews>
    <sheetView workbookViewId="0">
      <selection activeCell="D34" sqref="D34:D35"/>
    </sheetView>
  </sheetViews>
  <sheetFormatPr baseColWidth="10" defaultRowHeight="12.75" x14ac:dyDescent="0.2"/>
  <cols>
    <col min="1" max="1" width="5.140625" style="464" customWidth="1"/>
    <col min="2" max="2" width="30.140625" style="464" customWidth="1"/>
    <col min="3" max="3" width="8.42578125" style="464" customWidth="1"/>
    <col min="4" max="4" width="10.140625" style="464" customWidth="1"/>
    <col min="5" max="5" width="7.140625" style="464" customWidth="1"/>
    <col min="6" max="6" width="7.85546875" style="464" customWidth="1"/>
    <col min="7" max="7" width="11.85546875" style="464" customWidth="1"/>
    <col min="8" max="8" width="7.28515625" style="464" customWidth="1"/>
    <col min="9" max="9" width="13.28515625" style="464" customWidth="1"/>
    <col min="10" max="16384" width="11.42578125" style="464"/>
  </cols>
  <sheetData>
    <row r="1" spans="1:9" s="460" customFormat="1" x14ac:dyDescent="0.2">
      <c r="A1" s="890"/>
      <c r="B1" s="891"/>
      <c r="C1" s="891"/>
      <c r="D1" s="891"/>
      <c r="E1" s="891"/>
      <c r="F1" s="891"/>
      <c r="G1" s="891"/>
      <c r="H1" s="891"/>
      <c r="I1" s="892"/>
    </row>
    <row r="2" spans="1:9" s="460" customFormat="1" x14ac:dyDescent="0.2">
      <c r="A2" s="461"/>
      <c r="B2" s="893" t="s">
        <v>29</v>
      </c>
      <c r="C2" s="893"/>
      <c r="D2" s="893"/>
      <c r="E2" s="893"/>
      <c r="F2" s="893"/>
      <c r="G2" s="893"/>
      <c r="H2" s="893"/>
      <c r="I2" s="894"/>
    </row>
    <row r="3" spans="1:9" s="460" customFormat="1" x14ac:dyDescent="0.2">
      <c r="A3" s="461"/>
      <c r="B3" s="893"/>
      <c r="C3" s="893"/>
      <c r="D3" s="893"/>
      <c r="E3" s="893"/>
      <c r="F3" s="893"/>
      <c r="G3" s="462"/>
      <c r="H3" s="462"/>
      <c r="I3" s="463"/>
    </row>
    <row r="4" spans="1:9" s="460" customFormat="1" x14ac:dyDescent="0.2">
      <c r="A4" s="895" t="s">
        <v>537</v>
      </c>
      <c r="B4" s="896"/>
      <c r="C4" s="896"/>
      <c r="D4" s="896"/>
      <c r="E4" s="896"/>
      <c r="F4" s="896"/>
      <c r="G4" s="896"/>
      <c r="H4" s="896"/>
      <c r="I4" s="897"/>
    </row>
    <row r="5" spans="1:9" s="460" customFormat="1" ht="13.5" thickBot="1" x14ac:dyDescent="0.25">
      <c r="A5" s="898" t="s">
        <v>538</v>
      </c>
      <c r="B5" s="899"/>
      <c r="C5" s="899"/>
      <c r="D5" s="899"/>
      <c r="E5" s="899"/>
      <c r="F5" s="899"/>
      <c r="G5" s="899"/>
      <c r="H5" s="899"/>
      <c r="I5" s="900"/>
    </row>
    <row r="6" spans="1:9" x14ac:dyDescent="0.2">
      <c r="A6" s="887"/>
      <c r="B6" s="888"/>
      <c r="C6" s="888"/>
      <c r="D6" s="888"/>
      <c r="E6" s="888"/>
      <c r="F6" s="888"/>
      <c r="G6" s="888"/>
      <c r="H6" s="888"/>
      <c r="I6" s="889"/>
    </row>
    <row r="7" spans="1:9" ht="13.5" thickBot="1" x14ac:dyDescent="0.25">
      <c r="A7" s="465"/>
      <c r="B7" s="466" t="s">
        <v>245</v>
      </c>
      <c r="C7" s="467">
        <f>'Factor Mult. 2.10'!E34</f>
        <v>2.1</v>
      </c>
      <c r="D7" s="466"/>
      <c r="E7" s="466"/>
      <c r="F7" s="466"/>
      <c r="G7" s="466"/>
      <c r="H7" s="468"/>
      <c r="I7" s="469"/>
    </row>
    <row r="8" spans="1:9" s="474" customFormat="1" ht="12" x14ac:dyDescent="0.2">
      <c r="A8" s="470" t="s">
        <v>5</v>
      </c>
      <c r="B8" s="471" t="s">
        <v>8</v>
      </c>
      <c r="C8" s="472" t="s">
        <v>169</v>
      </c>
      <c r="D8" s="472" t="s">
        <v>0</v>
      </c>
      <c r="E8" s="472" t="s">
        <v>180</v>
      </c>
      <c r="F8" s="472" t="s">
        <v>181</v>
      </c>
      <c r="G8" s="472" t="s">
        <v>182</v>
      </c>
      <c r="H8" s="472" t="s">
        <v>246</v>
      </c>
      <c r="I8" s="473" t="s">
        <v>3</v>
      </c>
    </row>
    <row r="9" spans="1:9" x14ac:dyDescent="0.2">
      <c r="A9" s="475" t="s">
        <v>183</v>
      </c>
      <c r="B9" s="872" t="s">
        <v>184</v>
      </c>
      <c r="C9" s="872"/>
      <c r="D9" s="872"/>
      <c r="E9" s="872"/>
      <c r="F9" s="872"/>
      <c r="G9" s="872"/>
      <c r="H9" s="872"/>
      <c r="I9" s="873"/>
    </row>
    <row r="10" spans="1:9" x14ac:dyDescent="0.2">
      <c r="A10" s="475" t="s">
        <v>185</v>
      </c>
      <c r="B10" s="872" t="s">
        <v>186</v>
      </c>
      <c r="C10" s="872"/>
      <c r="D10" s="872"/>
      <c r="E10" s="872"/>
      <c r="F10" s="872"/>
      <c r="G10" s="872"/>
      <c r="H10" s="872"/>
      <c r="I10" s="873"/>
    </row>
    <row r="11" spans="1:9" x14ac:dyDescent="0.2">
      <c r="A11" s="476" t="s">
        <v>187</v>
      </c>
      <c r="B11" s="477" t="s">
        <v>188</v>
      </c>
      <c r="C11" s="478" t="s">
        <v>2</v>
      </c>
      <c r="D11" s="479">
        <v>1</v>
      </c>
      <c r="E11" s="480">
        <v>0.5</v>
      </c>
      <c r="F11" s="479">
        <v>3</v>
      </c>
      <c r="G11" s="481">
        <v>4600000</v>
      </c>
      <c r="H11" s="482">
        <f>$C$7</f>
        <v>2.1</v>
      </c>
      <c r="I11" s="483">
        <f>+IF(ISERROR(H11*G11*F11*E11*D11),"",H11*G11*F11*E11*D11)</f>
        <v>14490000</v>
      </c>
    </row>
    <row r="12" spans="1:9" x14ac:dyDescent="0.2">
      <c r="A12" s="476" t="s">
        <v>189</v>
      </c>
      <c r="B12" s="477" t="s">
        <v>441</v>
      </c>
      <c r="C12" s="478" t="s">
        <v>2</v>
      </c>
      <c r="D12" s="479">
        <v>1</v>
      </c>
      <c r="E12" s="480">
        <v>0.5</v>
      </c>
      <c r="F12" s="479">
        <v>3</v>
      </c>
      <c r="G12" s="481">
        <v>3800000</v>
      </c>
      <c r="H12" s="482">
        <f t="shared" ref="H12:H13" si="0">$C$7</f>
        <v>2.1</v>
      </c>
      <c r="I12" s="483">
        <f>+IF(ISERROR(H12*G12*F12*E12*D12),"",H12*G12*F12*E12*D12)</f>
        <v>11970000</v>
      </c>
    </row>
    <row r="13" spans="1:9" x14ac:dyDescent="0.2">
      <c r="A13" s="476" t="s">
        <v>190</v>
      </c>
      <c r="B13" s="477" t="s">
        <v>249</v>
      </c>
      <c r="C13" s="478" t="s">
        <v>2</v>
      </c>
      <c r="D13" s="479">
        <v>1</v>
      </c>
      <c r="E13" s="480">
        <v>0.5</v>
      </c>
      <c r="F13" s="479">
        <v>3</v>
      </c>
      <c r="G13" s="481">
        <v>1600000</v>
      </c>
      <c r="H13" s="482">
        <f t="shared" si="0"/>
        <v>2.1</v>
      </c>
      <c r="I13" s="483">
        <f>+IF(ISERROR(H13*G13*F13*E13*D13),"",H13*G13*F13*E13*D13)</f>
        <v>5040000</v>
      </c>
    </row>
    <row r="14" spans="1:9" x14ac:dyDescent="0.2">
      <c r="A14" s="878" t="s">
        <v>46</v>
      </c>
      <c r="B14" s="879"/>
      <c r="C14" s="879"/>
      <c r="D14" s="879"/>
      <c r="E14" s="879"/>
      <c r="F14" s="879"/>
      <c r="G14" s="879"/>
      <c r="H14" s="879"/>
      <c r="I14" s="484">
        <f>SUM(I11:I13)</f>
        <v>31500000</v>
      </c>
    </row>
    <row r="15" spans="1:9" x14ac:dyDescent="0.2">
      <c r="A15" s="878" t="s">
        <v>191</v>
      </c>
      <c r="B15" s="879"/>
      <c r="C15" s="879"/>
      <c r="D15" s="879"/>
      <c r="E15" s="879"/>
      <c r="F15" s="879"/>
      <c r="G15" s="879"/>
      <c r="H15" s="879"/>
      <c r="I15" s="484">
        <f>+I14</f>
        <v>31500000</v>
      </c>
    </row>
    <row r="16" spans="1:9" ht="13.5" thickBot="1" x14ac:dyDescent="0.25">
      <c r="A16" s="485"/>
      <c r="B16" s="486"/>
      <c r="C16" s="486"/>
      <c r="D16" s="486"/>
      <c r="E16" s="486"/>
      <c r="F16" s="486"/>
      <c r="G16" s="486"/>
      <c r="H16" s="486"/>
      <c r="I16" s="487"/>
    </row>
    <row r="17" spans="1:10" ht="25.5" x14ac:dyDescent="0.2">
      <c r="A17" s="488" t="s">
        <v>5</v>
      </c>
      <c r="B17" s="489" t="s">
        <v>8</v>
      </c>
      <c r="C17" s="490" t="s">
        <v>169</v>
      </c>
      <c r="D17" s="490" t="s">
        <v>0</v>
      </c>
      <c r="E17" s="885" t="s">
        <v>181</v>
      </c>
      <c r="F17" s="886"/>
      <c r="G17" s="885" t="s">
        <v>182</v>
      </c>
      <c r="H17" s="886"/>
      <c r="I17" s="491" t="s">
        <v>3</v>
      </c>
    </row>
    <row r="18" spans="1:10" x14ac:dyDescent="0.2">
      <c r="A18" s="475" t="s">
        <v>192</v>
      </c>
      <c r="B18" s="872" t="s">
        <v>193</v>
      </c>
      <c r="C18" s="872"/>
      <c r="D18" s="872"/>
      <c r="E18" s="872"/>
      <c r="F18" s="872"/>
      <c r="G18" s="872"/>
      <c r="H18" s="872"/>
      <c r="I18" s="873"/>
    </row>
    <row r="19" spans="1:10" ht="37.5" customHeight="1" x14ac:dyDescent="0.2">
      <c r="A19" s="492" t="s">
        <v>250</v>
      </c>
      <c r="B19" s="493" t="s">
        <v>539</v>
      </c>
      <c r="C19" s="494" t="s">
        <v>13</v>
      </c>
      <c r="D19" s="495">
        <v>1</v>
      </c>
      <c r="E19" s="874">
        <v>3</v>
      </c>
      <c r="F19" s="875"/>
      <c r="G19" s="876">
        <v>3500000</v>
      </c>
      <c r="H19" s="877"/>
      <c r="I19" s="496">
        <f>+IF(ISERROR(G19*E19*D19),"",G19*E19*D19)</f>
        <v>10500000</v>
      </c>
    </row>
    <row r="20" spans="1:10" ht="27" customHeight="1" x14ac:dyDescent="0.2">
      <c r="A20" s="492" t="s">
        <v>540</v>
      </c>
      <c r="B20" s="493" t="s">
        <v>541</v>
      </c>
      <c r="C20" s="494" t="s">
        <v>13</v>
      </c>
      <c r="D20" s="495">
        <v>1</v>
      </c>
      <c r="E20" s="874">
        <v>3</v>
      </c>
      <c r="F20" s="875"/>
      <c r="G20" s="876">
        <v>200000</v>
      </c>
      <c r="H20" s="877"/>
      <c r="I20" s="496">
        <f>+IF(ISERROR(G20*E20*D20),"",G20*E20*D20)</f>
        <v>600000</v>
      </c>
    </row>
    <row r="21" spans="1:10" ht="51" x14ac:dyDescent="0.2">
      <c r="A21" s="492" t="s">
        <v>251</v>
      </c>
      <c r="B21" s="493" t="s">
        <v>542</v>
      </c>
      <c r="C21" s="494" t="s">
        <v>13</v>
      </c>
      <c r="D21" s="495">
        <v>2</v>
      </c>
      <c r="E21" s="874">
        <v>3</v>
      </c>
      <c r="F21" s="875"/>
      <c r="G21" s="876">
        <v>250000</v>
      </c>
      <c r="H21" s="877"/>
      <c r="I21" s="496">
        <f>+IF(ISERROR(G21*E21*D21),"",G21*E21*D21)</f>
        <v>1500000</v>
      </c>
    </row>
    <row r="22" spans="1:10" x14ac:dyDescent="0.2">
      <c r="A22" s="878" t="s">
        <v>46</v>
      </c>
      <c r="B22" s="879"/>
      <c r="C22" s="879"/>
      <c r="D22" s="879"/>
      <c r="E22" s="879"/>
      <c r="F22" s="879"/>
      <c r="G22" s="879"/>
      <c r="H22" s="879"/>
      <c r="I22" s="497">
        <f>SUM(I19:I21)</f>
        <v>12600000</v>
      </c>
    </row>
    <row r="23" spans="1:10" x14ac:dyDescent="0.2">
      <c r="A23" s="878" t="s">
        <v>194</v>
      </c>
      <c r="B23" s="879"/>
      <c r="C23" s="879"/>
      <c r="D23" s="879"/>
      <c r="E23" s="879"/>
      <c r="F23" s="879"/>
      <c r="G23" s="879"/>
      <c r="H23" s="879"/>
      <c r="I23" s="498">
        <f>I22</f>
        <v>12600000</v>
      </c>
    </row>
    <row r="24" spans="1:10" x14ac:dyDescent="0.2">
      <c r="A24" s="880"/>
      <c r="B24" s="881"/>
      <c r="C24" s="881"/>
      <c r="D24" s="881"/>
      <c r="E24" s="881"/>
      <c r="F24" s="881"/>
      <c r="G24" s="881"/>
      <c r="H24" s="881"/>
      <c r="I24" s="882"/>
    </row>
    <row r="25" spans="1:10" x14ac:dyDescent="0.2">
      <c r="A25" s="878" t="s">
        <v>195</v>
      </c>
      <c r="B25" s="879"/>
      <c r="C25" s="879"/>
      <c r="D25" s="879"/>
      <c r="E25" s="879"/>
      <c r="F25" s="879"/>
      <c r="G25" s="879"/>
      <c r="H25" s="879"/>
      <c r="I25" s="498">
        <f>I15+I23</f>
        <v>44100000</v>
      </c>
    </row>
    <row r="26" spans="1:10" x14ac:dyDescent="0.2">
      <c r="A26" s="883"/>
      <c r="B26" s="884"/>
      <c r="C26" s="884"/>
      <c r="D26" s="884"/>
      <c r="E26" s="884"/>
      <c r="F26" s="884"/>
      <c r="G26" s="884"/>
      <c r="H26" s="884"/>
      <c r="I26" s="498"/>
    </row>
    <row r="27" spans="1:10" x14ac:dyDescent="0.2">
      <c r="A27" s="870" t="s">
        <v>196</v>
      </c>
      <c r="B27" s="871"/>
      <c r="C27" s="871"/>
      <c r="D27" s="871"/>
      <c r="E27" s="871"/>
      <c r="F27" s="871"/>
      <c r="G27" s="871"/>
      <c r="H27" s="499">
        <f>+[4]FM!E49/(1-[4]FM!E49)</f>
        <v>0.11856823266219241</v>
      </c>
      <c r="I27" s="500">
        <f>+I25*H27</f>
        <v>5228859.0604026848</v>
      </c>
    </row>
    <row r="28" spans="1:10" x14ac:dyDescent="0.2">
      <c r="A28" s="863" t="s">
        <v>197</v>
      </c>
      <c r="B28" s="864"/>
      <c r="C28" s="864"/>
      <c r="D28" s="864"/>
      <c r="E28" s="864"/>
      <c r="F28" s="864"/>
      <c r="G28" s="864"/>
      <c r="H28" s="864"/>
      <c r="I28" s="498">
        <f>+I25+I27</f>
        <v>49328859.060402684</v>
      </c>
      <c r="J28" s="501"/>
    </row>
    <row r="29" spans="1:10" x14ac:dyDescent="0.2">
      <c r="A29" s="865" t="s">
        <v>255</v>
      </c>
      <c r="B29" s="866"/>
      <c r="C29" s="866"/>
      <c r="D29" s="866"/>
      <c r="E29" s="866"/>
      <c r="F29" s="866"/>
      <c r="G29" s="867"/>
      <c r="H29" s="502"/>
      <c r="I29" s="498">
        <f>+ROUND(I28,0)</f>
        <v>49328859</v>
      </c>
    </row>
    <row r="30" spans="1:10" x14ac:dyDescent="0.2">
      <c r="A30" s="863" t="s">
        <v>198</v>
      </c>
      <c r="B30" s="864"/>
      <c r="C30" s="864"/>
      <c r="D30" s="864"/>
      <c r="E30" s="864"/>
      <c r="F30" s="864"/>
      <c r="G30" s="864"/>
      <c r="H30" s="503">
        <v>0.16</v>
      </c>
      <c r="I30" s="498">
        <f>ROUND(H30*I29,0)</f>
        <v>7892617</v>
      </c>
    </row>
    <row r="31" spans="1:10" ht="13.5" thickBot="1" x14ac:dyDescent="0.25">
      <c r="A31" s="868" t="s">
        <v>543</v>
      </c>
      <c r="B31" s="869"/>
      <c r="C31" s="869"/>
      <c r="D31" s="869"/>
      <c r="E31" s="869"/>
      <c r="F31" s="869"/>
      <c r="G31" s="869"/>
      <c r="H31" s="869"/>
      <c r="I31" s="504">
        <f>ROUND(I29+I30,0)</f>
        <v>57221476</v>
      </c>
    </row>
    <row r="32" spans="1:10" x14ac:dyDescent="0.2">
      <c r="A32" s="860"/>
      <c r="B32" s="860"/>
      <c r="C32" s="860"/>
      <c r="D32" s="860"/>
      <c r="E32" s="860"/>
      <c r="F32" s="860"/>
      <c r="G32" s="860"/>
      <c r="H32" s="860"/>
      <c r="I32" s="860"/>
    </row>
    <row r="33" spans="1:9" ht="46.5" customHeight="1" x14ac:dyDescent="0.2">
      <c r="A33" s="505"/>
      <c r="B33" s="505"/>
      <c r="C33" s="505"/>
      <c r="D33" s="505"/>
      <c r="E33" s="505"/>
      <c r="F33" s="505"/>
      <c r="G33" s="505"/>
      <c r="H33" s="505"/>
      <c r="I33" s="505"/>
    </row>
    <row r="34" spans="1:9" ht="20.25" customHeight="1" x14ac:dyDescent="0.25">
      <c r="A34" s="506"/>
      <c r="B34" s="215"/>
      <c r="D34" s="722" t="s">
        <v>618</v>
      </c>
      <c r="E34" s="507"/>
      <c r="F34" s="508"/>
      <c r="G34" s="509"/>
      <c r="H34" s="222"/>
      <c r="I34" s="215"/>
    </row>
    <row r="35" spans="1:9" s="215" customFormat="1" ht="14.25" x14ac:dyDescent="0.25">
      <c r="A35" s="506"/>
      <c r="D35" s="213" t="s">
        <v>619</v>
      </c>
      <c r="E35" s="507"/>
      <c r="F35" s="507"/>
      <c r="G35" s="510"/>
    </row>
    <row r="36" spans="1:9" s="215" customFormat="1" x14ac:dyDescent="0.25">
      <c r="A36" s="506"/>
      <c r="D36" s="511"/>
      <c r="E36" s="512"/>
      <c r="H36" s="511"/>
      <c r="I36" s="512"/>
    </row>
    <row r="37" spans="1:9" s="215" customFormat="1" x14ac:dyDescent="0.25">
      <c r="A37" s="506"/>
      <c r="D37" s="511"/>
      <c r="E37" s="512"/>
      <c r="H37" s="511"/>
      <c r="I37" s="512"/>
    </row>
    <row r="38" spans="1:9" s="215" customFormat="1" x14ac:dyDescent="0.25">
      <c r="A38" s="506"/>
      <c r="D38" s="511"/>
      <c r="E38" s="512"/>
      <c r="H38" s="511"/>
      <c r="I38" s="512"/>
    </row>
    <row r="39" spans="1:9" s="215" customFormat="1" x14ac:dyDescent="0.25">
      <c r="A39" s="506"/>
      <c r="D39" s="511"/>
      <c r="E39" s="512"/>
      <c r="H39" s="511"/>
      <c r="I39" s="512"/>
    </row>
    <row r="40" spans="1:9" x14ac:dyDescent="0.2">
      <c r="A40" s="860"/>
      <c r="B40" s="860"/>
      <c r="C40" s="860"/>
      <c r="D40" s="860"/>
      <c r="E40" s="860"/>
      <c r="F40" s="860"/>
      <c r="G40" s="860"/>
      <c r="H40" s="860"/>
      <c r="I40" s="860"/>
    </row>
    <row r="41" spans="1:9" x14ac:dyDescent="0.2">
      <c r="A41" s="860"/>
      <c r="B41" s="860"/>
      <c r="C41" s="860"/>
      <c r="D41" s="860"/>
      <c r="E41" s="860"/>
      <c r="F41" s="860"/>
      <c r="G41" s="860"/>
      <c r="H41" s="860"/>
      <c r="I41" s="860"/>
    </row>
    <row r="42" spans="1:9" x14ac:dyDescent="0.2">
      <c r="A42" s="222"/>
      <c r="B42" s="222"/>
      <c r="C42" s="222"/>
      <c r="D42" s="222"/>
      <c r="E42" s="222"/>
      <c r="F42" s="222"/>
      <c r="G42" s="222"/>
      <c r="H42" s="222"/>
      <c r="I42" s="222"/>
    </row>
    <row r="43" spans="1:9" x14ac:dyDescent="0.2">
      <c r="A43" s="861"/>
      <c r="B43" s="861"/>
      <c r="C43" s="861"/>
      <c r="D43" s="861"/>
      <c r="E43" s="861"/>
      <c r="F43" s="861"/>
      <c r="G43" s="861"/>
      <c r="H43" s="861"/>
      <c r="I43" s="861"/>
    </row>
    <row r="44" spans="1:9" x14ac:dyDescent="0.2">
      <c r="A44" s="862"/>
      <c r="B44" s="862"/>
      <c r="C44" s="862"/>
      <c r="D44" s="862"/>
      <c r="E44" s="862"/>
      <c r="F44" s="862"/>
      <c r="G44" s="862"/>
      <c r="H44" s="862"/>
      <c r="I44" s="862"/>
    </row>
    <row r="45" spans="1:9" x14ac:dyDescent="0.2">
      <c r="A45" s="513"/>
      <c r="B45" s="513"/>
      <c r="C45" s="513"/>
      <c r="D45" s="513"/>
      <c r="E45" s="513"/>
      <c r="F45" s="513"/>
      <c r="G45" s="513"/>
      <c r="H45" s="513"/>
      <c r="I45" s="513"/>
    </row>
  </sheetData>
  <mergeCells count="34">
    <mergeCell ref="A6:I6"/>
    <mergeCell ref="A1:I1"/>
    <mergeCell ref="B2:I2"/>
    <mergeCell ref="B3:F3"/>
    <mergeCell ref="A4:I4"/>
    <mergeCell ref="A5:I5"/>
    <mergeCell ref="B9:I9"/>
    <mergeCell ref="B10:I10"/>
    <mergeCell ref="A14:H14"/>
    <mergeCell ref="A15:H15"/>
    <mergeCell ref="E17:F17"/>
    <mergeCell ref="G17:H17"/>
    <mergeCell ref="A27:G27"/>
    <mergeCell ref="B18:I18"/>
    <mergeCell ref="E19:F19"/>
    <mergeCell ref="G19:H19"/>
    <mergeCell ref="E20:F20"/>
    <mergeCell ref="G20:H20"/>
    <mergeCell ref="E21:F21"/>
    <mergeCell ref="G21:H21"/>
    <mergeCell ref="A22:H22"/>
    <mergeCell ref="A23:H23"/>
    <mergeCell ref="A24:I24"/>
    <mergeCell ref="A25:H25"/>
    <mergeCell ref="A26:H26"/>
    <mergeCell ref="A41:I41"/>
    <mergeCell ref="A43:I43"/>
    <mergeCell ref="A44:I44"/>
    <mergeCell ref="A28:H28"/>
    <mergeCell ref="A29:G29"/>
    <mergeCell ref="A30:G30"/>
    <mergeCell ref="A31:H31"/>
    <mergeCell ref="A32:I32"/>
    <mergeCell ref="A40:I40"/>
  </mergeCells>
  <dataValidations count="1">
    <dataValidation type="list" allowBlank="1" showInputMessage="1" showErrorMessage="1" sqref="H29">
      <formula1>"UNIDAD,DECENA,CENTENA"</formula1>
    </dataValidation>
  </dataValidations>
  <pageMargins left="0.7" right="0.7" top="0.75" bottom="0.75" header="0.3" footer="0.3"/>
  <pageSetup paperSize="5" scale="8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A1:J51"/>
  <sheetViews>
    <sheetView topLeftCell="A37" zoomScaleNormal="100" workbookViewId="0">
      <selection activeCell="I24" sqref="I24"/>
    </sheetView>
  </sheetViews>
  <sheetFormatPr baseColWidth="10" defaultRowHeight="12.75" x14ac:dyDescent="0.2"/>
  <cols>
    <col min="1" max="1" width="53.85546875" style="464" bestFit="1" customWidth="1"/>
    <col min="2" max="2" width="11.42578125" style="464"/>
    <col min="3" max="3" width="8.7109375" style="464" bestFit="1" customWidth="1"/>
    <col min="4" max="4" width="21.7109375" style="464" customWidth="1"/>
    <col min="5" max="5" width="10.5703125" style="464" bestFit="1" customWidth="1"/>
    <col min="6" max="16384" width="11.42578125" style="464"/>
  </cols>
  <sheetData>
    <row r="1" spans="1:5" ht="13.5" thickBot="1" x14ac:dyDescent="0.25"/>
    <row r="2" spans="1:5" ht="16.5" thickBot="1" x14ac:dyDescent="0.3">
      <c r="A2" s="919" t="s">
        <v>560</v>
      </c>
      <c r="B2" s="920"/>
      <c r="C2" s="920"/>
      <c r="D2" s="920"/>
      <c r="E2" s="921"/>
    </row>
    <row r="3" spans="1:5" ht="13.5" thickBot="1" x14ac:dyDescent="0.25"/>
    <row r="4" spans="1:5" x14ac:dyDescent="0.2">
      <c r="A4" s="514" t="s">
        <v>199</v>
      </c>
      <c r="B4" s="515"/>
      <c r="C4" s="516" t="s">
        <v>200</v>
      </c>
      <c r="D4" s="516" t="s">
        <v>201</v>
      </c>
      <c r="E4" s="517" t="s">
        <v>202</v>
      </c>
    </row>
    <row r="5" spans="1:5" x14ac:dyDescent="0.2">
      <c r="A5" s="922" t="s">
        <v>203</v>
      </c>
      <c r="B5" s="923"/>
      <c r="C5" s="923"/>
      <c r="D5" s="923"/>
      <c r="E5" s="924"/>
    </row>
    <row r="6" spans="1:5" x14ac:dyDescent="0.2">
      <c r="A6" s="518" t="s">
        <v>204</v>
      </c>
      <c r="B6" s="519"/>
      <c r="C6" s="520" t="s">
        <v>205</v>
      </c>
      <c r="D6" s="521" t="s">
        <v>206</v>
      </c>
      <c r="E6" s="522">
        <v>100</v>
      </c>
    </row>
    <row r="7" spans="1:5" x14ac:dyDescent="0.2">
      <c r="A7" s="901"/>
      <c r="B7" s="902"/>
      <c r="C7" s="902"/>
      <c r="D7" s="902"/>
      <c r="E7" s="903"/>
    </row>
    <row r="8" spans="1:5" x14ac:dyDescent="0.2">
      <c r="A8" s="922" t="s">
        <v>207</v>
      </c>
      <c r="B8" s="923"/>
      <c r="C8" s="923"/>
      <c r="D8" s="923"/>
      <c r="E8" s="924"/>
    </row>
    <row r="9" spans="1:5" x14ac:dyDescent="0.2">
      <c r="A9" s="518" t="s">
        <v>208</v>
      </c>
      <c r="B9" s="519"/>
      <c r="C9" s="520" t="s">
        <v>209</v>
      </c>
      <c r="D9" s="521" t="s">
        <v>210</v>
      </c>
      <c r="E9" s="523">
        <f>ROUND(100/12,2)</f>
        <v>8.33</v>
      </c>
    </row>
    <row r="10" spans="1:5" x14ac:dyDescent="0.2">
      <c r="A10" s="518" t="s">
        <v>211</v>
      </c>
      <c r="B10" s="519"/>
      <c r="C10" s="520" t="s">
        <v>127</v>
      </c>
      <c r="D10" s="521" t="s">
        <v>212</v>
      </c>
      <c r="E10" s="523">
        <f>ROUND(100/12,2)</f>
        <v>8.33</v>
      </c>
    </row>
    <row r="11" spans="1:5" x14ac:dyDescent="0.2">
      <c r="A11" s="518" t="s">
        <v>213</v>
      </c>
      <c r="B11" s="519"/>
      <c r="C11" s="520" t="s">
        <v>214</v>
      </c>
      <c r="D11" s="521" t="s">
        <v>215</v>
      </c>
      <c r="E11" s="523">
        <v>1</v>
      </c>
    </row>
    <row r="12" spans="1:5" x14ac:dyDescent="0.2">
      <c r="A12" s="518" t="s">
        <v>544</v>
      </c>
      <c r="B12" s="519"/>
      <c r="C12" s="520" t="s">
        <v>545</v>
      </c>
      <c r="D12" s="521" t="s">
        <v>546</v>
      </c>
      <c r="E12" s="523">
        <v>4.17</v>
      </c>
    </row>
    <row r="13" spans="1:5" x14ac:dyDescent="0.2">
      <c r="A13" s="518" t="s">
        <v>547</v>
      </c>
      <c r="B13" s="519"/>
      <c r="C13" s="520" t="s">
        <v>220</v>
      </c>
      <c r="D13" s="521" t="s">
        <v>221</v>
      </c>
      <c r="E13" s="523">
        <v>4</v>
      </c>
    </row>
    <row r="14" spans="1:5" x14ac:dyDescent="0.2">
      <c r="A14" s="518" t="s">
        <v>548</v>
      </c>
      <c r="B14" s="519"/>
      <c r="C14" s="520" t="s">
        <v>218</v>
      </c>
      <c r="D14" s="521" t="s">
        <v>219</v>
      </c>
      <c r="E14" s="523">
        <v>12</v>
      </c>
    </row>
    <row r="15" spans="1:5" x14ac:dyDescent="0.2">
      <c r="A15" s="518" t="s">
        <v>549</v>
      </c>
      <c r="B15" s="519"/>
      <c r="C15" s="520" t="s">
        <v>216</v>
      </c>
      <c r="D15" s="521" t="s">
        <v>217</v>
      </c>
      <c r="E15" s="523">
        <v>2.4359999999999999</v>
      </c>
    </row>
    <row r="16" spans="1:5" x14ac:dyDescent="0.2">
      <c r="A16" s="518" t="s">
        <v>550</v>
      </c>
      <c r="B16" s="519"/>
      <c r="C16" s="520" t="s">
        <v>222</v>
      </c>
      <c r="D16" s="521" t="s">
        <v>223</v>
      </c>
      <c r="E16" s="523">
        <v>0</v>
      </c>
    </row>
    <row r="17" spans="1:5" x14ac:dyDescent="0.2">
      <c r="A17" s="518" t="s">
        <v>551</v>
      </c>
      <c r="B17" s="519"/>
      <c r="C17" s="520" t="s">
        <v>224</v>
      </c>
      <c r="D17" s="521" t="s">
        <v>225</v>
      </c>
      <c r="E17" s="523">
        <v>0</v>
      </c>
    </row>
    <row r="18" spans="1:5" x14ac:dyDescent="0.2">
      <c r="A18" s="518" t="s">
        <v>552</v>
      </c>
      <c r="B18" s="519"/>
      <c r="C18" s="520" t="s">
        <v>553</v>
      </c>
      <c r="D18" s="521"/>
      <c r="E18" s="523">
        <v>0</v>
      </c>
    </row>
    <row r="19" spans="1:5" x14ac:dyDescent="0.2">
      <c r="A19" s="518" t="s">
        <v>554</v>
      </c>
      <c r="B19" s="519"/>
      <c r="C19" s="520" t="s">
        <v>128</v>
      </c>
      <c r="D19" s="521"/>
      <c r="E19" s="523">
        <v>1</v>
      </c>
    </row>
    <row r="20" spans="1:5" x14ac:dyDescent="0.2">
      <c r="A20" s="518"/>
      <c r="B20" s="519"/>
      <c r="C20" s="520"/>
      <c r="D20" s="521"/>
      <c r="E20" s="524"/>
    </row>
    <row r="21" spans="1:5" x14ac:dyDescent="0.2">
      <c r="A21" s="525" t="s">
        <v>226</v>
      </c>
      <c r="B21" s="526"/>
      <c r="C21" s="527" t="s">
        <v>227</v>
      </c>
      <c r="D21" s="528"/>
      <c r="E21" s="529">
        <f>SUM(E9:E19)</f>
        <v>41.265999999999998</v>
      </c>
    </row>
    <row r="22" spans="1:5" x14ac:dyDescent="0.2">
      <c r="A22" s="901"/>
      <c r="B22" s="902"/>
      <c r="C22" s="902"/>
      <c r="D22" s="902"/>
      <c r="E22" s="903"/>
    </row>
    <row r="23" spans="1:5" x14ac:dyDescent="0.2">
      <c r="A23" s="530" t="s">
        <v>228</v>
      </c>
      <c r="B23" s="531" t="s">
        <v>229</v>
      </c>
      <c r="C23" s="532"/>
      <c r="D23" s="531"/>
      <c r="E23" s="533"/>
    </row>
    <row r="24" spans="1:5" x14ac:dyDescent="0.2">
      <c r="A24" s="518" t="s">
        <v>230</v>
      </c>
      <c r="B24" s="534" t="s">
        <v>2</v>
      </c>
      <c r="C24" s="520">
        <v>2</v>
      </c>
      <c r="D24" s="535" t="s">
        <v>231</v>
      </c>
      <c r="E24" s="536">
        <f>+(([4]GASTO!E2*C24)/[4]INTERVENTORIA!$L$8)*100</f>
        <v>62.196501183546495</v>
      </c>
    </row>
    <row r="25" spans="1:5" x14ac:dyDescent="0.2">
      <c r="A25" s="518" t="s">
        <v>232</v>
      </c>
      <c r="B25" s="534" t="s">
        <v>233</v>
      </c>
      <c r="C25" s="520">
        <v>1</v>
      </c>
      <c r="D25" s="535" t="s">
        <v>234</v>
      </c>
      <c r="E25" s="536">
        <v>0.25</v>
      </c>
    </row>
    <row r="26" spans="1:5" x14ac:dyDescent="0.2">
      <c r="A26" s="518" t="s">
        <v>235</v>
      </c>
      <c r="B26" s="534" t="s">
        <v>233</v>
      </c>
      <c r="C26" s="521"/>
      <c r="D26" s="535" t="s">
        <v>236</v>
      </c>
      <c r="E26" s="536">
        <v>1</v>
      </c>
    </row>
    <row r="27" spans="1:5" x14ac:dyDescent="0.2">
      <c r="A27" s="518"/>
      <c r="B27" s="519"/>
      <c r="C27" s="537"/>
      <c r="D27" s="521"/>
      <c r="E27" s="536"/>
    </row>
    <row r="28" spans="1:5" x14ac:dyDescent="0.2">
      <c r="A28" s="525" t="s">
        <v>237</v>
      </c>
      <c r="B28" s="526"/>
      <c r="C28" s="527" t="s">
        <v>238</v>
      </c>
      <c r="D28" s="528"/>
      <c r="E28" s="529">
        <f>SUM(E24:E26)</f>
        <v>63.446501183546495</v>
      </c>
    </row>
    <row r="29" spans="1:5" x14ac:dyDescent="0.2">
      <c r="A29" s="518"/>
      <c r="B29" s="519"/>
      <c r="C29" s="520"/>
      <c r="D29" s="521"/>
      <c r="E29" s="536"/>
    </row>
    <row r="30" spans="1:5" x14ac:dyDescent="0.2">
      <c r="A30" s="525" t="s">
        <v>239</v>
      </c>
      <c r="B30" s="526"/>
      <c r="C30" s="527" t="s">
        <v>240</v>
      </c>
      <c r="D30" s="528" t="s">
        <v>241</v>
      </c>
      <c r="E30" s="538">
        <f>E21+E28</f>
        <v>104.71250118354649</v>
      </c>
    </row>
    <row r="31" spans="1:5" x14ac:dyDescent="0.2">
      <c r="A31" s="925"/>
      <c r="B31" s="926"/>
      <c r="C31" s="926"/>
      <c r="D31" s="926"/>
      <c r="E31" s="927"/>
    </row>
    <row r="32" spans="1:5" x14ac:dyDescent="0.2">
      <c r="A32" s="525" t="s">
        <v>242</v>
      </c>
      <c r="B32" s="526"/>
      <c r="C32" s="527" t="s">
        <v>243</v>
      </c>
      <c r="D32" s="528" t="s">
        <v>244</v>
      </c>
      <c r="E32" s="529">
        <v>5</v>
      </c>
    </row>
    <row r="33" spans="1:10" x14ac:dyDescent="0.2">
      <c r="A33" s="901"/>
      <c r="B33" s="902"/>
      <c r="C33" s="902"/>
      <c r="D33" s="902"/>
      <c r="E33" s="903"/>
    </row>
    <row r="34" spans="1:10" ht="13.5" thickBot="1" x14ac:dyDescent="0.25">
      <c r="A34" s="539" t="s">
        <v>245</v>
      </c>
      <c r="B34" s="540"/>
      <c r="C34" s="541" t="s">
        <v>246</v>
      </c>
      <c r="D34" s="542" t="s">
        <v>247</v>
      </c>
      <c r="E34" s="543">
        <f>ROUND((100+E30+E32)/100,2)</f>
        <v>2.1</v>
      </c>
    </row>
    <row r="35" spans="1:10" x14ac:dyDescent="0.2">
      <c r="A35" s="904" t="s">
        <v>248</v>
      </c>
      <c r="B35" s="905"/>
      <c r="C35" s="905"/>
      <c r="D35" s="905"/>
      <c r="E35" s="906"/>
    </row>
    <row r="36" spans="1:10" x14ac:dyDescent="0.2">
      <c r="A36" s="907"/>
      <c r="B36" s="908"/>
      <c r="C36" s="908"/>
      <c r="D36" s="908"/>
      <c r="E36" s="909"/>
    </row>
    <row r="37" spans="1:10" ht="30.75" customHeight="1" thickBot="1" x14ac:dyDescent="0.25">
      <c r="A37" s="910"/>
      <c r="B37" s="911"/>
      <c r="C37" s="911"/>
      <c r="D37" s="911"/>
      <c r="E37" s="912"/>
    </row>
    <row r="39" spans="1:10" ht="13.5" customHeight="1" x14ac:dyDescent="0.2"/>
    <row r="40" spans="1:10" x14ac:dyDescent="0.2">
      <c r="A40" s="913" t="s">
        <v>170</v>
      </c>
      <c r="B40" s="914"/>
      <c r="C40" s="914"/>
      <c r="D40" s="915"/>
      <c r="E40" s="544" t="s">
        <v>134</v>
      </c>
      <c r="G40" s="545"/>
      <c r="H40" s="545"/>
      <c r="I40" s="545"/>
      <c r="J40" s="546"/>
    </row>
    <row r="41" spans="1:10" x14ac:dyDescent="0.2">
      <c r="A41" s="547" t="s">
        <v>171</v>
      </c>
      <c r="B41" s="548"/>
      <c r="C41" s="548"/>
      <c r="D41" s="548"/>
      <c r="E41" s="549">
        <v>0.02</v>
      </c>
      <c r="G41" s="545"/>
      <c r="H41" s="545"/>
      <c r="I41" s="545"/>
      <c r="J41" s="550"/>
    </row>
    <row r="42" spans="1:10" x14ac:dyDescent="0.2">
      <c r="A42" s="547" t="s">
        <v>172</v>
      </c>
      <c r="B42" s="548"/>
      <c r="C42" s="548"/>
      <c r="D42" s="548"/>
      <c r="E42" s="549">
        <v>0.02</v>
      </c>
      <c r="G42" s="545"/>
      <c r="H42" s="545"/>
      <c r="I42" s="545"/>
      <c r="J42" s="550"/>
    </row>
    <row r="43" spans="1:10" x14ac:dyDescent="0.2">
      <c r="A43" s="547" t="s">
        <v>173</v>
      </c>
      <c r="B43" s="548"/>
      <c r="C43" s="548"/>
      <c r="D43" s="548"/>
      <c r="E43" s="549">
        <v>1.4999999999999999E-2</v>
      </c>
      <c r="G43" s="545"/>
      <c r="H43" s="545"/>
      <c r="I43" s="545"/>
      <c r="J43" s="550"/>
    </row>
    <row r="44" spans="1:10" x14ac:dyDescent="0.2">
      <c r="A44" s="547" t="s">
        <v>174</v>
      </c>
      <c r="B44" s="548"/>
      <c r="C44" s="548"/>
      <c r="D44" s="548"/>
      <c r="E44" s="549">
        <v>5.0000000000000001E-3</v>
      </c>
      <c r="G44" s="545"/>
      <c r="H44" s="545"/>
      <c r="I44" s="545"/>
      <c r="J44" s="550"/>
    </row>
    <row r="45" spans="1:10" x14ac:dyDescent="0.2">
      <c r="A45" s="547" t="s">
        <v>175</v>
      </c>
      <c r="B45" s="548"/>
      <c r="C45" s="548"/>
      <c r="D45" s="548"/>
      <c r="E45" s="549">
        <v>0.02</v>
      </c>
      <c r="G45" s="545"/>
      <c r="H45" s="545"/>
      <c r="I45" s="545"/>
      <c r="J45" s="550"/>
    </row>
    <row r="46" spans="1:10" x14ac:dyDescent="0.2">
      <c r="A46" s="547" t="s">
        <v>176</v>
      </c>
      <c r="B46" s="548"/>
      <c r="C46" s="548"/>
      <c r="D46" s="548"/>
      <c r="E46" s="549">
        <v>0.02</v>
      </c>
      <c r="G46" s="545"/>
      <c r="H46" s="545"/>
      <c r="I46" s="545"/>
      <c r="J46" s="550"/>
    </row>
    <row r="47" spans="1:10" x14ac:dyDescent="0.2">
      <c r="A47" s="547" t="s">
        <v>177</v>
      </c>
      <c r="B47" s="548"/>
      <c r="C47" s="548"/>
      <c r="D47" s="548"/>
      <c r="E47" s="549">
        <v>6.0000000000000001E-3</v>
      </c>
      <c r="G47" s="545"/>
      <c r="H47" s="545"/>
      <c r="I47" s="545"/>
      <c r="J47" s="550"/>
    </row>
    <row r="48" spans="1:10" x14ac:dyDescent="0.2">
      <c r="A48" s="547" t="s">
        <v>178</v>
      </c>
      <c r="B48" s="548"/>
      <c r="C48" s="548"/>
      <c r="D48" s="548"/>
      <c r="E48" s="549">
        <v>0.05</v>
      </c>
      <c r="G48" s="545"/>
      <c r="H48" s="545"/>
      <c r="I48" s="545"/>
      <c r="J48" s="550"/>
    </row>
    <row r="49" spans="1:10" x14ac:dyDescent="0.2">
      <c r="A49" s="916" t="s">
        <v>179</v>
      </c>
      <c r="B49" s="917"/>
      <c r="C49" s="917"/>
      <c r="D49" s="918"/>
      <c r="E49" s="551">
        <f>SUM(E41:E48)</f>
        <v>0.15600000000000003</v>
      </c>
      <c r="G49" s="545"/>
      <c r="H49" s="545"/>
      <c r="I49" s="545"/>
      <c r="J49" s="550"/>
    </row>
    <row r="50" spans="1:10" x14ac:dyDescent="0.2">
      <c r="G50" s="545"/>
      <c r="H50" s="545"/>
      <c r="I50" s="545"/>
      <c r="J50" s="552"/>
    </row>
    <row r="51" spans="1:10" x14ac:dyDescent="0.2">
      <c r="B51" s="553"/>
      <c r="E51" s="554"/>
    </row>
  </sheetData>
  <mergeCells count="10">
    <mergeCell ref="A33:E33"/>
    <mergeCell ref="A35:E37"/>
    <mergeCell ref="A40:D40"/>
    <mergeCell ref="A49:D49"/>
    <mergeCell ref="A2:E2"/>
    <mergeCell ref="A5:E5"/>
    <mergeCell ref="A7:E7"/>
    <mergeCell ref="A8:E8"/>
    <mergeCell ref="A22:E22"/>
    <mergeCell ref="A31:E31"/>
  </mergeCells>
  <pageMargins left="0.7" right="0.7" top="0.75" bottom="0.75" header="0.3" footer="0.3"/>
  <pageSetup paperSize="5" scale="8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84"/>
  <sheetViews>
    <sheetView topLeftCell="A268" workbookViewId="0">
      <selection activeCell="C284" sqref="C284:F284"/>
    </sheetView>
  </sheetViews>
  <sheetFormatPr baseColWidth="10" defaultRowHeight="15" x14ac:dyDescent="0.25"/>
  <cols>
    <col min="1" max="2" width="11.42578125" style="5"/>
    <col min="3" max="3" width="29" style="5" customWidth="1"/>
    <col min="4" max="8" width="11.42578125" style="5"/>
    <col min="9" max="9" width="15.7109375" style="5" customWidth="1"/>
    <col min="10" max="10" width="19.7109375" style="5" customWidth="1"/>
    <col min="11" max="16384" width="11.42578125" style="5"/>
  </cols>
  <sheetData>
    <row r="1" spans="1:10" ht="15.75" thickBot="1" x14ac:dyDescent="0.3"/>
    <row r="2" spans="1:10" ht="15.75" thickTop="1" x14ac:dyDescent="0.25">
      <c r="A2" s="940" t="s">
        <v>378</v>
      </c>
      <c r="B2" s="941"/>
      <c r="C2" s="941"/>
      <c r="D2" s="941"/>
      <c r="E2" s="941"/>
      <c r="F2" s="941"/>
      <c r="G2" s="941"/>
      <c r="H2" s="942"/>
    </row>
    <row r="3" spans="1:10" x14ac:dyDescent="0.25">
      <c r="A3" s="943" t="s">
        <v>379</v>
      </c>
      <c r="B3" s="944"/>
      <c r="C3" s="944"/>
      <c r="D3" s="944"/>
      <c r="E3" s="944"/>
      <c r="F3" s="944"/>
      <c r="G3" s="944"/>
      <c r="H3" s="945"/>
    </row>
    <row r="4" spans="1:10" ht="15.75" thickBot="1" x14ac:dyDescent="0.3">
      <c r="A4" s="946" t="s">
        <v>261</v>
      </c>
      <c r="B4" s="947"/>
      <c r="C4" s="947"/>
      <c r="D4" s="947"/>
      <c r="E4" s="947"/>
      <c r="F4" s="947"/>
      <c r="G4" s="947"/>
      <c r="H4" s="948"/>
    </row>
    <row r="5" spans="1:10" ht="16.5" thickTop="1" thickBot="1" x14ac:dyDescent="0.3">
      <c r="A5" s="949" t="s">
        <v>30</v>
      </c>
      <c r="B5" s="950"/>
      <c r="C5" s="950"/>
      <c r="D5" s="950"/>
      <c r="E5" s="950"/>
      <c r="F5" s="950"/>
      <c r="G5" s="950"/>
      <c r="H5" s="951"/>
    </row>
    <row r="6" spans="1:10" ht="15.75" thickTop="1" x14ac:dyDescent="0.25">
      <c r="A6" s="277" t="s">
        <v>380</v>
      </c>
      <c r="B6" s="952" t="s">
        <v>381</v>
      </c>
      <c r="C6" s="952"/>
      <c r="D6" s="952"/>
      <c r="E6" s="952"/>
      <c r="F6" s="952"/>
      <c r="G6" s="278"/>
      <c r="H6" s="279"/>
    </row>
    <row r="7" spans="1:10" x14ac:dyDescent="0.25">
      <c r="A7" s="280" t="s">
        <v>382</v>
      </c>
      <c r="B7" s="281" t="s">
        <v>183</v>
      </c>
      <c r="C7" s="281" t="str">
        <f>'[2]Ppto Obra Semaforizacion'!B3</f>
        <v>PRELIMINARES</v>
      </c>
      <c r="D7" s="281">
        <v>1</v>
      </c>
      <c r="E7" s="282"/>
      <c r="F7" s="283" t="s">
        <v>383</v>
      </c>
      <c r="G7" s="284" t="s">
        <v>169</v>
      </c>
      <c r="H7" s="285"/>
    </row>
    <row r="8" spans="1:10" ht="21.95" customHeight="1" thickBot="1" x14ac:dyDescent="0.3">
      <c r="A8" s="286" t="s">
        <v>384</v>
      </c>
      <c r="B8" s="287" t="s">
        <v>185</v>
      </c>
      <c r="C8" s="956" t="str">
        <f>'[2]Ppto Obra Semaforizacion'!B4</f>
        <v>DESMANTELAMIENTO, RETIRO Y TRANSPORTE DE POSTES EXISTENTES.</v>
      </c>
      <c r="D8" s="956"/>
      <c r="E8" s="956"/>
      <c r="F8" s="288" t="s">
        <v>385</v>
      </c>
      <c r="G8" s="287" t="s">
        <v>620</v>
      </c>
      <c r="H8" s="289"/>
    </row>
    <row r="9" spans="1:10" ht="16.5" thickTop="1" thickBot="1" x14ac:dyDescent="0.3"/>
    <row r="10" spans="1:10" ht="16.5" thickTop="1" thickBot="1" x14ac:dyDescent="0.3">
      <c r="B10" s="290" t="s">
        <v>183</v>
      </c>
      <c r="C10" s="937" t="s">
        <v>386</v>
      </c>
      <c r="D10" s="938"/>
      <c r="E10" s="938"/>
      <c r="F10" s="938"/>
      <c r="G10" s="939"/>
    </row>
    <row r="11" spans="1:10" ht="16.5" thickTop="1" thickBot="1" x14ac:dyDescent="0.3">
      <c r="B11" s="291"/>
      <c r="C11" s="290"/>
      <c r="D11" s="290">
        <v>1</v>
      </c>
      <c r="E11" s="290" t="s">
        <v>387</v>
      </c>
      <c r="F11" s="290" t="s">
        <v>388</v>
      </c>
      <c r="G11" s="290" t="s">
        <v>122</v>
      </c>
      <c r="J11" s="292">
        <f>18300*1.16</f>
        <v>21228</v>
      </c>
    </row>
    <row r="12" spans="1:10" ht="15.75" thickTop="1" x14ac:dyDescent="0.25">
      <c r="B12" s="293"/>
      <c r="C12" s="294" t="s">
        <v>8</v>
      </c>
      <c r="D12" s="294">
        <v>1</v>
      </c>
      <c r="E12" s="294" t="s">
        <v>390</v>
      </c>
      <c r="F12" s="294" t="s">
        <v>391</v>
      </c>
      <c r="G12" s="294" t="s">
        <v>392</v>
      </c>
    </row>
    <row r="13" spans="1:10" ht="15.75" thickBot="1" x14ac:dyDescent="0.3">
      <c r="B13" s="295"/>
      <c r="C13" s="295"/>
      <c r="D13" s="296" t="s">
        <v>393</v>
      </c>
      <c r="E13" s="296" t="s">
        <v>394</v>
      </c>
      <c r="F13" s="296" t="s">
        <v>395</v>
      </c>
      <c r="G13" s="296" t="s">
        <v>396</v>
      </c>
    </row>
    <row r="14" spans="1:10" ht="16.5" thickTop="1" thickBot="1" x14ac:dyDescent="0.3">
      <c r="B14" s="297" t="s">
        <v>185</v>
      </c>
      <c r="C14" s="298" t="s">
        <v>262</v>
      </c>
      <c r="D14" s="299">
        <v>2</v>
      </c>
      <c r="E14" s="292">
        <v>100228</v>
      </c>
      <c r="F14" s="300">
        <v>1</v>
      </c>
      <c r="G14" s="301">
        <f>D14*E14/F14</f>
        <v>200456</v>
      </c>
    </row>
    <row r="15" spans="1:10" ht="16.5" thickTop="1" thickBot="1" x14ac:dyDescent="0.3">
      <c r="B15" s="302" t="s">
        <v>280</v>
      </c>
      <c r="C15" s="303" t="s">
        <v>397</v>
      </c>
      <c r="D15" s="300">
        <v>3</v>
      </c>
      <c r="E15" s="304">
        <v>1500000</v>
      </c>
      <c r="F15" s="300">
        <v>1</v>
      </c>
      <c r="G15" s="301">
        <f>D15*E15/F15</f>
        <v>4500000</v>
      </c>
    </row>
    <row r="16" spans="1:10" ht="15.75" thickTop="1" x14ac:dyDescent="0.25">
      <c r="B16" s="305"/>
      <c r="C16" s="306"/>
      <c r="D16" s="307">
        <v>4</v>
      </c>
      <c r="E16" s="308"/>
      <c r="F16" s="309"/>
      <c r="G16" s="308"/>
    </row>
    <row r="17" spans="2:10" x14ac:dyDescent="0.25">
      <c r="B17" s="305"/>
      <c r="C17" s="310"/>
      <c r="D17" s="300"/>
      <c r="E17" s="301"/>
      <c r="F17" s="300"/>
      <c r="G17" s="301"/>
    </row>
    <row r="18" spans="2:10" x14ac:dyDescent="0.25">
      <c r="B18" s="305"/>
      <c r="C18" s="311"/>
      <c r="D18" s="300">
        <v>2</v>
      </c>
      <c r="E18" s="312"/>
      <c r="F18" s="300"/>
      <c r="G18" s="301"/>
      <c r="J18" s="313"/>
    </row>
    <row r="19" spans="2:10" ht="15.75" thickBot="1" x14ac:dyDescent="0.3">
      <c r="B19" s="305"/>
      <c r="C19" s="298"/>
      <c r="D19" s="299">
        <v>2</v>
      </c>
      <c r="E19" s="292"/>
      <c r="F19" s="300"/>
      <c r="G19" s="301"/>
    </row>
    <row r="20" spans="2:10" ht="16.5" thickTop="1" thickBot="1" x14ac:dyDescent="0.3">
      <c r="D20" s="5">
        <v>105</v>
      </c>
      <c r="F20" s="314" t="s">
        <v>398</v>
      </c>
      <c r="G20" s="315">
        <f>SUM(G14:G19)</f>
        <v>4700456</v>
      </c>
    </row>
    <row r="21" spans="2:10" ht="16.5" thickTop="1" thickBot="1" x14ac:dyDescent="0.3">
      <c r="D21" s="5">
        <v>125</v>
      </c>
      <c r="I21" s="316"/>
    </row>
    <row r="22" spans="2:10" ht="16.5" thickTop="1" thickBot="1" x14ac:dyDescent="0.3">
      <c r="B22" s="317" t="s">
        <v>192</v>
      </c>
      <c r="C22" s="933" t="s">
        <v>399</v>
      </c>
      <c r="D22" s="933"/>
      <c r="E22" s="933"/>
      <c r="F22" s="933"/>
      <c r="G22" s="933"/>
    </row>
    <row r="23" spans="2:10" ht="15.75" thickTop="1" x14ac:dyDescent="0.25">
      <c r="B23" s="318"/>
      <c r="C23" s="290"/>
      <c r="D23" s="290">
        <v>1</v>
      </c>
      <c r="E23" s="290"/>
      <c r="F23" s="290" t="s">
        <v>122</v>
      </c>
      <c r="G23" s="290" t="s">
        <v>122</v>
      </c>
      <c r="J23" s="313"/>
    </row>
    <row r="24" spans="2:10" x14ac:dyDescent="0.25">
      <c r="B24" s="319"/>
      <c r="C24" s="294" t="s">
        <v>8</v>
      </c>
      <c r="D24" s="294">
        <v>1</v>
      </c>
      <c r="E24" s="294" t="s">
        <v>0</v>
      </c>
      <c r="F24" s="294" t="s">
        <v>400</v>
      </c>
      <c r="G24" s="294" t="s">
        <v>392</v>
      </c>
    </row>
    <row r="25" spans="2:10" ht="15.75" thickBot="1" x14ac:dyDescent="0.3">
      <c r="B25" s="320"/>
      <c r="C25" s="295"/>
      <c r="D25" s="321"/>
      <c r="E25" s="296" t="s">
        <v>401</v>
      </c>
      <c r="F25" s="296" t="s">
        <v>402</v>
      </c>
      <c r="G25" s="296" t="s">
        <v>403</v>
      </c>
    </row>
    <row r="26" spans="2:10" ht="15.75" thickTop="1" x14ac:dyDescent="0.25">
      <c r="B26" s="322"/>
      <c r="C26" s="306"/>
      <c r="D26" s="307">
        <v>30</v>
      </c>
      <c r="E26" s="307"/>
      <c r="F26" s="308"/>
      <c r="G26" s="308"/>
    </row>
    <row r="27" spans="2:10" x14ac:dyDescent="0.25">
      <c r="B27" s="323"/>
      <c r="C27" s="324"/>
      <c r="D27" s="325">
        <v>20</v>
      </c>
      <c r="E27" s="325"/>
      <c r="F27" s="326"/>
      <c r="G27" s="326"/>
    </row>
    <row r="28" spans="2:10" x14ac:dyDescent="0.25">
      <c r="B28" s="327"/>
      <c r="C28" s="328"/>
      <c r="D28" s="325">
        <v>10</v>
      </c>
      <c r="E28" s="329"/>
      <c r="F28" s="330"/>
      <c r="G28" s="326"/>
    </row>
    <row r="29" spans="2:10" ht="15.75" thickBot="1" x14ac:dyDescent="0.3">
      <c r="B29" s="331"/>
      <c r="C29" s="332"/>
      <c r="D29" s="299">
        <v>5</v>
      </c>
      <c r="E29" s="333"/>
      <c r="F29" s="334"/>
      <c r="G29" s="292"/>
    </row>
    <row r="30" spans="2:10" ht="15.75" thickTop="1" x14ac:dyDescent="0.25">
      <c r="D30" s="934">
        <v>4</v>
      </c>
      <c r="E30" s="934"/>
      <c r="F30" s="335"/>
      <c r="G30" s="336"/>
    </row>
    <row r="31" spans="2:10" x14ac:dyDescent="0.25">
      <c r="D31" s="935">
        <v>1</v>
      </c>
      <c r="E31" s="935"/>
      <c r="F31" s="337"/>
      <c r="G31" s="338"/>
    </row>
    <row r="32" spans="2:10" ht="15.75" thickBot="1" x14ac:dyDescent="0.3">
      <c r="D32" s="936">
        <v>2</v>
      </c>
      <c r="E32" s="936"/>
      <c r="F32" s="339"/>
      <c r="G32" s="292">
        <f>SUM(G26:G29)</f>
        <v>0</v>
      </c>
    </row>
    <row r="33" spans="2:8" ht="16.5" thickTop="1" thickBot="1" x14ac:dyDescent="0.3">
      <c r="D33" s="5">
        <v>1</v>
      </c>
    </row>
    <row r="34" spans="2:8" ht="16.5" thickTop="1" thickBot="1" x14ac:dyDescent="0.3">
      <c r="B34" s="290" t="s">
        <v>407</v>
      </c>
      <c r="C34" s="933" t="s">
        <v>408</v>
      </c>
      <c r="D34" s="933"/>
      <c r="E34" s="933"/>
      <c r="F34" s="933"/>
      <c r="G34" s="933"/>
    </row>
    <row r="35" spans="2:8" ht="15.75" thickTop="1" x14ac:dyDescent="0.25">
      <c r="B35" s="291"/>
      <c r="C35" s="290"/>
      <c r="D35" s="290">
        <v>97</v>
      </c>
      <c r="E35" s="290" t="s">
        <v>52</v>
      </c>
      <c r="F35" s="290" t="s">
        <v>388</v>
      </c>
      <c r="G35" s="290" t="s">
        <v>122</v>
      </c>
    </row>
    <row r="36" spans="2:8" x14ac:dyDescent="0.25">
      <c r="B36" s="293"/>
      <c r="C36" s="294" t="s">
        <v>8</v>
      </c>
      <c r="D36" s="294">
        <v>2</v>
      </c>
      <c r="E36" s="294" t="s">
        <v>409</v>
      </c>
      <c r="F36" s="294" t="s">
        <v>391</v>
      </c>
      <c r="G36" s="294" t="s">
        <v>392</v>
      </c>
    </row>
    <row r="37" spans="2:8" ht="15.75" thickBot="1" x14ac:dyDescent="0.3">
      <c r="B37" s="295"/>
      <c r="C37" s="295"/>
      <c r="D37" s="296">
        <v>50</v>
      </c>
      <c r="E37" s="296" t="s">
        <v>411</v>
      </c>
      <c r="F37" s="296" t="s">
        <v>412</v>
      </c>
      <c r="G37" s="296" t="s">
        <v>413</v>
      </c>
    </row>
    <row r="38" spans="2:8" ht="15.75" thickTop="1" x14ac:dyDescent="0.25">
      <c r="B38" s="340" t="s">
        <v>296</v>
      </c>
      <c r="C38" s="341" t="s">
        <v>414</v>
      </c>
      <c r="D38" s="342">
        <v>4</v>
      </c>
      <c r="E38" s="326">
        <v>48802</v>
      </c>
      <c r="F38" s="325">
        <v>1</v>
      </c>
      <c r="G38" s="326">
        <f>D38*E38/F38</f>
        <v>195208</v>
      </c>
    </row>
    <row r="39" spans="2:8" ht="15.75" thickBot="1" x14ac:dyDescent="0.3">
      <c r="B39" s="343" t="s">
        <v>298</v>
      </c>
      <c r="C39" s="344" t="s">
        <v>415</v>
      </c>
      <c r="D39" s="342">
        <v>2</v>
      </c>
      <c r="E39" s="301">
        <v>96924</v>
      </c>
      <c r="F39" s="325">
        <v>1</v>
      </c>
      <c r="G39" s="326">
        <f>D39*E39/F39</f>
        <v>193848</v>
      </c>
    </row>
    <row r="40" spans="2:8" ht="16.5" thickTop="1" thickBot="1" x14ac:dyDescent="0.3">
      <c r="B40" s="345"/>
      <c r="C40" s="346"/>
      <c r="D40" s="342"/>
      <c r="E40" s="326"/>
      <c r="F40" s="325"/>
      <c r="G40" s="326"/>
    </row>
    <row r="41" spans="2:8" ht="16.5" thickTop="1" thickBot="1" x14ac:dyDescent="0.3">
      <c r="F41" s="314" t="s">
        <v>398</v>
      </c>
      <c r="G41" s="315">
        <f>SUM(G38:G40)</f>
        <v>389056</v>
      </c>
      <c r="H41" s="313"/>
    </row>
    <row r="42" spans="2:8" ht="16.5" thickTop="1" thickBot="1" x14ac:dyDescent="0.3"/>
    <row r="43" spans="2:8" ht="16.5" thickTop="1" thickBot="1" x14ac:dyDescent="0.3">
      <c r="B43" s="290" t="s">
        <v>303</v>
      </c>
      <c r="C43" s="933" t="s">
        <v>416</v>
      </c>
      <c r="D43" s="933"/>
      <c r="E43" s="933"/>
      <c r="F43" s="933"/>
      <c r="G43" s="933"/>
    </row>
    <row r="44" spans="2:8" ht="15.75" thickTop="1" x14ac:dyDescent="0.25">
      <c r="B44" s="291"/>
      <c r="C44" s="290"/>
      <c r="D44" s="290"/>
      <c r="E44" s="290"/>
      <c r="F44" s="290"/>
      <c r="G44" s="290" t="s">
        <v>122</v>
      </c>
    </row>
    <row r="45" spans="2:8" x14ac:dyDescent="0.25">
      <c r="B45" s="293"/>
      <c r="C45" s="294" t="s">
        <v>8</v>
      </c>
      <c r="D45" s="294" t="s">
        <v>389</v>
      </c>
      <c r="E45" s="294" t="s">
        <v>182</v>
      </c>
      <c r="F45" s="294" t="s">
        <v>388</v>
      </c>
      <c r="G45" s="294" t="s">
        <v>392</v>
      </c>
    </row>
    <row r="46" spans="2:8" ht="15.75" thickBot="1" x14ac:dyDescent="0.3">
      <c r="B46" s="295"/>
      <c r="C46" s="295"/>
      <c r="D46" s="296" t="s">
        <v>417</v>
      </c>
      <c r="E46" s="296" t="s">
        <v>418</v>
      </c>
      <c r="F46" s="296" t="s">
        <v>419</v>
      </c>
      <c r="G46" s="296" t="s">
        <v>420</v>
      </c>
    </row>
    <row r="47" spans="2:8" ht="15.75" thickTop="1" x14ac:dyDescent="0.25">
      <c r="B47" s="347" t="s">
        <v>306</v>
      </c>
      <c r="C47" s="348" t="s">
        <v>421</v>
      </c>
      <c r="D47" s="349">
        <v>4</v>
      </c>
      <c r="E47" s="350">
        <v>60000</v>
      </c>
      <c r="F47" s="349">
        <v>1</v>
      </c>
      <c r="G47" s="350">
        <f>(D47*E47)/F47</f>
        <v>240000</v>
      </c>
    </row>
    <row r="48" spans="2:8" ht="15.75" thickBot="1" x14ac:dyDescent="0.3">
      <c r="B48" s="331"/>
      <c r="C48" s="351"/>
      <c r="D48" s="299"/>
      <c r="E48" s="299"/>
      <c r="F48" s="299"/>
      <c r="G48" s="292"/>
    </row>
    <row r="49" spans="1:9" ht="16.5" thickTop="1" thickBot="1" x14ac:dyDescent="0.3">
      <c r="F49" s="314" t="s">
        <v>398</v>
      </c>
      <c r="G49" s="315">
        <f>SUM(G47:G48)</f>
        <v>240000</v>
      </c>
      <c r="I49" s="313"/>
    </row>
    <row r="50" spans="1:9" ht="16.5" thickTop="1" thickBot="1" x14ac:dyDescent="0.3">
      <c r="G50" s="269"/>
      <c r="I50" s="256"/>
    </row>
    <row r="51" spans="1:9" ht="16.5" thickTop="1" thickBot="1" x14ac:dyDescent="0.3">
      <c r="B51" s="928" t="s">
        <v>422</v>
      </c>
      <c r="C51" s="929"/>
      <c r="D51" s="929"/>
      <c r="E51" s="929"/>
      <c r="F51" s="352"/>
      <c r="G51" s="353">
        <f>G20+G32+G41+G49</f>
        <v>5329512</v>
      </c>
    </row>
    <row r="52" spans="1:9" ht="16.5" thickTop="1" thickBot="1" x14ac:dyDescent="0.3">
      <c r="B52" s="930" t="s">
        <v>423</v>
      </c>
      <c r="C52" s="931"/>
      <c r="D52" s="931"/>
      <c r="E52" s="931"/>
      <c r="F52" s="354">
        <v>0</v>
      </c>
      <c r="G52" s="355"/>
    </row>
    <row r="53" spans="1:9" ht="16.5" thickTop="1" thickBot="1" x14ac:dyDescent="0.3">
      <c r="B53" s="356" t="s">
        <v>424</v>
      </c>
      <c r="C53" s="357"/>
      <c r="D53" s="357"/>
      <c r="E53" s="357"/>
      <c r="F53" s="358"/>
      <c r="G53" s="359">
        <f>G51</f>
        <v>5329512</v>
      </c>
      <c r="I53" s="360"/>
    </row>
    <row r="54" spans="1:9" ht="15.75" thickTop="1" x14ac:dyDescent="0.25">
      <c r="G54" s="361"/>
      <c r="I54" s="313"/>
    </row>
    <row r="55" spans="1:9" x14ac:dyDescent="0.25">
      <c r="G55" s="361"/>
    </row>
    <row r="56" spans="1:9" x14ac:dyDescent="0.25">
      <c r="C56" s="362" t="s">
        <v>425</v>
      </c>
      <c r="G56" s="361"/>
    </row>
    <row r="57" spans="1:9" x14ac:dyDescent="0.25">
      <c r="C57" s="932" t="s">
        <v>621</v>
      </c>
      <c r="D57" s="932"/>
      <c r="E57" s="932"/>
      <c r="F57" s="932"/>
      <c r="G57" s="361"/>
    </row>
    <row r="58" spans="1:9" ht="50.25" customHeight="1" thickBot="1" x14ac:dyDescent="0.3"/>
    <row r="59" spans="1:9" ht="15.75" thickTop="1" x14ac:dyDescent="0.25">
      <c r="A59" s="940" t="s">
        <v>378</v>
      </c>
      <c r="B59" s="941"/>
      <c r="C59" s="941"/>
      <c r="D59" s="941"/>
      <c r="E59" s="941"/>
      <c r="F59" s="941"/>
      <c r="G59" s="941"/>
      <c r="H59" s="942"/>
    </row>
    <row r="60" spans="1:9" x14ac:dyDescent="0.25">
      <c r="A60" s="943" t="s">
        <v>379</v>
      </c>
      <c r="B60" s="944"/>
      <c r="C60" s="944"/>
      <c r="D60" s="944"/>
      <c r="E60" s="944"/>
      <c r="F60" s="944"/>
      <c r="G60" s="944"/>
      <c r="H60" s="945"/>
    </row>
    <row r="61" spans="1:9" ht="15.75" thickBot="1" x14ac:dyDescent="0.3">
      <c r="A61" s="946" t="s">
        <v>261</v>
      </c>
      <c r="B61" s="947"/>
      <c r="C61" s="947"/>
      <c r="D61" s="947"/>
      <c r="E61" s="947"/>
      <c r="F61" s="947"/>
      <c r="G61" s="947"/>
      <c r="H61" s="948"/>
    </row>
    <row r="62" spans="1:9" ht="16.5" thickTop="1" thickBot="1" x14ac:dyDescent="0.3">
      <c r="A62" s="949" t="s">
        <v>30</v>
      </c>
      <c r="B62" s="950"/>
      <c r="C62" s="950"/>
      <c r="D62" s="950"/>
      <c r="E62" s="950"/>
      <c r="F62" s="950"/>
      <c r="G62" s="950"/>
      <c r="H62" s="951"/>
    </row>
    <row r="63" spans="1:9" ht="15.75" thickTop="1" x14ac:dyDescent="0.25">
      <c r="A63" s="277" t="s">
        <v>380</v>
      </c>
      <c r="B63" s="952" t="s">
        <v>381</v>
      </c>
      <c r="C63" s="952"/>
      <c r="D63" s="952"/>
      <c r="E63" s="952"/>
      <c r="F63" s="952"/>
      <c r="G63" s="278"/>
      <c r="H63" s="279"/>
    </row>
    <row r="64" spans="1:9" ht="12" customHeight="1" x14ac:dyDescent="0.25">
      <c r="A64" s="280" t="s">
        <v>382</v>
      </c>
      <c r="B64" s="281" t="s">
        <v>183</v>
      </c>
      <c r="C64" s="954" t="str">
        <f>C7</f>
        <v>PRELIMINARES</v>
      </c>
      <c r="D64" s="954"/>
      <c r="E64" s="954"/>
      <c r="F64" s="283" t="s">
        <v>383</v>
      </c>
      <c r="G64" s="284" t="s">
        <v>169</v>
      </c>
      <c r="H64" s="285"/>
    </row>
    <row r="65" spans="1:10" ht="21" customHeight="1" thickBot="1" x14ac:dyDescent="0.3">
      <c r="A65" s="286" t="s">
        <v>384</v>
      </c>
      <c r="B65" s="287" t="s">
        <v>280</v>
      </c>
      <c r="C65" s="955" t="str">
        <f>'[2]Ppto Obra Semaforizacion'!B5</f>
        <v>DESMANTELAMIENTO, RETIRO Y TRANSPORTE DE SEMAFOROS VEHICULARES Y PEATONALES EXISTENTES.</v>
      </c>
      <c r="D65" s="955"/>
      <c r="E65" s="955"/>
      <c r="F65" s="288" t="s">
        <v>385</v>
      </c>
      <c r="G65" s="287" t="s">
        <v>620</v>
      </c>
      <c r="H65" s="289"/>
    </row>
    <row r="66" spans="1:10" ht="12.75" customHeight="1" thickTop="1" thickBot="1" x14ac:dyDescent="0.3"/>
    <row r="67" spans="1:10" ht="16.5" thickTop="1" thickBot="1" x14ac:dyDescent="0.3">
      <c r="B67" s="290" t="s">
        <v>183</v>
      </c>
      <c r="C67" s="937" t="s">
        <v>386</v>
      </c>
      <c r="D67" s="938"/>
      <c r="E67" s="938"/>
      <c r="F67" s="938"/>
      <c r="G67" s="939"/>
    </row>
    <row r="68" spans="1:10" ht="15.75" thickTop="1" x14ac:dyDescent="0.25">
      <c r="B68" s="291"/>
      <c r="C68" s="290"/>
      <c r="D68" s="290"/>
      <c r="E68" s="290" t="s">
        <v>387</v>
      </c>
      <c r="F68" s="290" t="s">
        <v>388</v>
      </c>
      <c r="G68" s="290" t="s">
        <v>122</v>
      </c>
    </row>
    <row r="69" spans="1:10" x14ac:dyDescent="0.25">
      <c r="B69" s="293"/>
      <c r="C69" s="294" t="s">
        <v>8</v>
      </c>
      <c r="D69" s="294" t="s">
        <v>389</v>
      </c>
      <c r="E69" s="294" t="s">
        <v>390</v>
      </c>
      <c r="F69" s="294" t="s">
        <v>391</v>
      </c>
      <c r="G69" s="294" t="s">
        <v>392</v>
      </c>
    </row>
    <row r="70" spans="1:10" ht="15.75" thickBot="1" x14ac:dyDescent="0.3">
      <c r="B70" s="295"/>
      <c r="C70" s="295"/>
      <c r="D70" s="296" t="s">
        <v>393</v>
      </c>
      <c r="E70" s="296" t="s">
        <v>394</v>
      </c>
      <c r="F70" s="296" t="s">
        <v>395</v>
      </c>
      <c r="G70" s="296" t="s">
        <v>396</v>
      </c>
    </row>
    <row r="71" spans="1:10" ht="16.5" thickTop="1" thickBot="1" x14ac:dyDescent="0.3">
      <c r="B71" s="297" t="s">
        <v>185</v>
      </c>
      <c r="C71" s="298" t="s">
        <v>262</v>
      </c>
      <c r="D71" s="299">
        <v>1</v>
      </c>
      <c r="E71" s="292">
        <v>100228</v>
      </c>
      <c r="F71" s="300">
        <v>2</v>
      </c>
      <c r="G71" s="301">
        <f>D71*E71/F71</f>
        <v>50114</v>
      </c>
    </row>
    <row r="72" spans="1:10" ht="15.75" thickTop="1" x14ac:dyDescent="0.25">
      <c r="B72" s="302" t="s">
        <v>280</v>
      </c>
      <c r="C72" s="303" t="s">
        <v>397</v>
      </c>
      <c r="D72" s="300">
        <v>1</v>
      </c>
      <c r="E72" s="304">
        <v>1500000</v>
      </c>
      <c r="F72" s="300">
        <v>2</v>
      </c>
      <c r="G72" s="301">
        <f>D72*E72/F72</f>
        <v>750000</v>
      </c>
      <c r="I72" s="316"/>
    </row>
    <row r="73" spans="1:10" x14ac:dyDescent="0.25">
      <c r="B73" s="305"/>
      <c r="C73" s="310"/>
      <c r="D73" s="300"/>
      <c r="E73" s="301"/>
      <c r="F73" s="300"/>
      <c r="G73" s="301"/>
      <c r="I73" s="316"/>
    </row>
    <row r="74" spans="1:10" x14ac:dyDescent="0.25">
      <c r="B74" s="305"/>
      <c r="C74" s="324"/>
      <c r="D74" s="325"/>
      <c r="E74" s="363"/>
      <c r="F74" s="325"/>
      <c r="G74" s="301"/>
    </row>
    <row r="75" spans="1:10" x14ac:dyDescent="0.25">
      <c r="B75" s="305"/>
      <c r="C75" s="310"/>
      <c r="D75" s="300"/>
      <c r="E75" s="301"/>
      <c r="F75" s="300"/>
      <c r="G75" s="301"/>
    </row>
    <row r="76" spans="1:10" ht="15.75" thickBot="1" x14ac:dyDescent="0.3">
      <c r="B76" s="297"/>
      <c r="C76" s="298"/>
      <c r="D76" s="299"/>
      <c r="E76" s="292"/>
      <c r="F76" s="300"/>
      <c r="G76" s="301"/>
    </row>
    <row r="77" spans="1:10" ht="16.5" thickTop="1" thickBot="1" x14ac:dyDescent="0.3">
      <c r="F77" s="314" t="s">
        <v>398</v>
      </c>
      <c r="G77" s="315">
        <f>SUM(G71:G76)</f>
        <v>800114</v>
      </c>
      <c r="J77" s="257"/>
    </row>
    <row r="78" spans="1:10" ht="16.5" thickTop="1" thickBot="1" x14ac:dyDescent="0.3"/>
    <row r="79" spans="1:10" ht="16.5" thickTop="1" thickBot="1" x14ac:dyDescent="0.3">
      <c r="B79" s="317" t="s">
        <v>192</v>
      </c>
      <c r="C79" s="937" t="s">
        <v>399</v>
      </c>
      <c r="D79" s="938"/>
      <c r="E79" s="938"/>
      <c r="F79" s="938"/>
      <c r="G79" s="939"/>
    </row>
    <row r="80" spans="1:10" ht="15.75" thickTop="1" x14ac:dyDescent="0.25">
      <c r="B80" s="318"/>
      <c r="C80" s="290"/>
      <c r="D80" s="290"/>
      <c r="E80" s="290"/>
      <c r="F80" s="290" t="s">
        <v>122</v>
      </c>
      <c r="G80" s="290" t="s">
        <v>122</v>
      </c>
    </row>
    <row r="81" spans="2:9" x14ac:dyDescent="0.25">
      <c r="B81" s="319"/>
      <c r="C81" s="294" t="s">
        <v>8</v>
      </c>
      <c r="D81" s="294" t="s">
        <v>169</v>
      </c>
      <c r="E81" s="294" t="s">
        <v>0</v>
      </c>
      <c r="F81" s="294" t="s">
        <v>400</v>
      </c>
      <c r="G81" s="294" t="s">
        <v>392</v>
      </c>
    </row>
    <row r="82" spans="2:9" ht="15.75" thickBot="1" x14ac:dyDescent="0.3">
      <c r="B82" s="320"/>
      <c r="C82" s="295"/>
      <c r="D82" s="321"/>
      <c r="E82" s="296" t="s">
        <v>401</v>
      </c>
      <c r="F82" s="296" t="s">
        <v>402</v>
      </c>
      <c r="G82" s="296" t="s">
        <v>403</v>
      </c>
    </row>
    <row r="83" spans="2:9" ht="15.75" thickTop="1" x14ac:dyDescent="0.25">
      <c r="B83" s="322"/>
      <c r="C83" s="306"/>
      <c r="D83" s="307"/>
      <c r="E83" s="307"/>
      <c r="F83" s="308"/>
      <c r="G83" s="308"/>
    </row>
    <row r="84" spans="2:9" x14ac:dyDescent="0.25">
      <c r="B84" s="323"/>
      <c r="C84" s="324"/>
      <c r="D84" s="325"/>
      <c r="E84" s="364"/>
      <c r="F84" s="326"/>
      <c r="G84" s="326"/>
    </row>
    <row r="85" spans="2:9" x14ac:dyDescent="0.25">
      <c r="B85" s="327"/>
      <c r="C85" s="328"/>
      <c r="D85" s="325"/>
      <c r="E85" s="365"/>
      <c r="F85" s="330"/>
      <c r="G85" s="326"/>
    </row>
    <row r="86" spans="2:9" ht="15.75" thickBot="1" x14ac:dyDescent="0.3">
      <c r="B86" s="331"/>
      <c r="C86" s="332"/>
      <c r="D86" s="299"/>
      <c r="E86" s="366"/>
      <c r="F86" s="334"/>
      <c r="G86" s="292"/>
    </row>
    <row r="87" spans="2:9" ht="15.75" thickTop="1" x14ac:dyDescent="0.25">
      <c r="D87" s="934" t="s">
        <v>404</v>
      </c>
      <c r="E87" s="934"/>
      <c r="F87" s="335"/>
      <c r="G87" s="336"/>
    </row>
    <row r="88" spans="2:9" x14ac:dyDescent="0.25">
      <c r="D88" s="935" t="s">
        <v>405</v>
      </c>
      <c r="E88" s="935"/>
      <c r="F88" s="337"/>
      <c r="G88" s="338"/>
      <c r="I88" s="313"/>
    </row>
    <row r="89" spans="2:9" ht="15.75" thickBot="1" x14ac:dyDescent="0.3">
      <c r="D89" s="936" t="s">
        <v>406</v>
      </c>
      <c r="E89" s="936"/>
      <c r="F89" s="339"/>
      <c r="G89" s="292">
        <f>SUM(G83:G86)</f>
        <v>0</v>
      </c>
    </row>
    <row r="90" spans="2:9" ht="16.5" thickTop="1" thickBot="1" x14ac:dyDescent="0.3">
      <c r="I90" s="316"/>
    </row>
    <row r="91" spans="2:9" ht="16.5" thickTop="1" thickBot="1" x14ac:dyDescent="0.3">
      <c r="B91" s="290" t="s">
        <v>407</v>
      </c>
      <c r="C91" s="937" t="s">
        <v>408</v>
      </c>
      <c r="D91" s="938"/>
      <c r="E91" s="938"/>
      <c r="F91" s="938"/>
      <c r="G91" s="939"/>
    </row>
    <row r="92" spans="2:9" ht="15.75" thickTop="1" x14ac:dyDescent="0.25">
      <c r="B92" s="291"/>
      <c r="C92" s="290"/>
      <c r="D92" s="290"/>
      <c r="E92" s="290" t="s">
        <v>52</v>
      </c>
      <c r="F92" s="290" t="s">
        <v>388</v>
      </c>
      <c r="G92" s="290" t="s">
        <v>122</v>
      </c>
      <c r="I92" s="313"/>
    </row>
    <row r="93" spans="2:9" x14ac:dyDescent="0.25">
      <c r="B93" s="293"/>
      <c r="C93" s="294" t="s">
        <v>8</v>
      </c>
      <c r="D93" s="294" t="s">
        <v>389</v>
      </c>
      <c r="E93" s="294" t="s">
        <v>409</v>
      </c>
      <c r="F93" s="294" t="s">
        <v>391</v>
      </c>
      <c r="G93" s="294" t="s">
        <v>392</v>
      </c>
    </row>
    <row r="94" spans="2:9" ht="15.75" thickBot="1" x14ac:dyDescent="0.3">
      <c r="B94" s="295"/>
      <c r="C94" s="295"/>
      <c r="D94" s="296" t="s">
        <v>410</v>
      </c>
      <c r="E94" s="296" t="s">
        <v>411</v>
      </c>
      <c r="F94" s="296" t="s">
        <v>412</v>
      </c>
      <c r="G94" s="296" t="s">
        <v>413</v>
      </c>
    </row>
    <row r="95" spans="2:9" ht="15.75" thickTop="1" x14ac:dyDescent="0.25">
      <c r="B95" s="340" t="s">
        <v>296</v>
      </c>
      <c r="C95" s="367" t="s">
        <v>414</v>
      </c>
      <c r="D95" s="368">
        <v>4</v>
      </c>
      <c r="E95" s="369">
        <v>48802</v>
      </c>
      <c r="F95" s="370">
        <v>2</v>
      </c>
      <c r="G95" s="369">
        <v>195208</v>
      </c>
    </row>
    <row r="96" spans="2:9" ht="15.75" thickBot="1" x14ac:dyDescent="0.3">
      <c r="B96" s="343" t="s">
        <v>298</v>
      </c>
      <c r="C96" s="371" t="s">
        <v>415</v>
      </c>
      <c r="D96" s="372">
        <v>2</v>
      </c>
      <c r="E96" s="373">
        <v>96924</v>
      </c>
      <c r="F96" s="374">
        <v>2</v>
      </c>
      <c r="G96" s="373">
        <v>193848</v>
      </c>
    </row>
    <row r="97" spans="2:10" ht="16.5" thickTop="1" thickBot="1" x14ac:dyDescent="0.3">
      <c r="F97" s="314" t="s">
        <v>398</v>
      </c>
      <c r="G97" s="315">
        <f>SUM(G95:G96)</f>
        <v>389056</v>
      </c>
    </row>
    <row r="98" spans="2:10" ht="16.5" thickTop="1" thickBot="1" x14ac:dyDescent="0.3"/>
    <row r="99" spans="2:10" ht="16.5" thickTop="1" thickBot="1" x14ac:dyDescent="0.3">
      <c r="B99" s="290" t="s">
        <v>303</v>
      </c>
      <c r="C99" s="937" t="s">
        <v>416</v>
      </c>
      <c r="D99" s="938"/>
      <c r="E99" s="938"/>
      <c r="F99" s="938"/>
      <c r="G99" s="939"/>
    </row>
    <row r="100" spans="2:10" ht="15.75" thickTop="1" x14ac:dyDescent="0.25">
      <c r="B100" s="291"/>
      <c r="C100" s="290"/>
      <c r="D100" s="290"/>
      <c r="E100" s="290"/>
      <c r="F100" s="290"/>
      <c r="G100" s="290" t="s">
        <v>122</v>
      </c>
    </row>
    <row r="101" spans="2:10" x14ac:dyDescent="0.25">
      <c r="B101" s="293"/>
      <c r="C101" s="294" t="s">
        <v>8</v>
      </c>
      <c r="D101" s="294" t="s">
        <v>389</v>
      </c>
      <c r="E101" s="294" t="s">
        <v>182</v>
      </c>
      <c r="F101" s="294" t="s">
        <v>388</v>
      </c>
      <c r="G101" s="294" t="s">
        <v>392</v>
      </c>
    </row>
    <row r="102" spans="2:10" ht="15.75" thickBot="1" x14ac:dyDescent="0.3">
      <c r="B102" s="295"/>
      <c r="C102" s="295"/>
      <c r="D102" s="296" t="s">
        <v>417</v>
      </c>
      <c r="E102" s="296" t="s">
        <v>418</v>
      </c>
      <c r="F102" s="296" t="s">
        <v>419</v>
      </c>
      <c r="G102" s="296" t="s">
        <v>420</v>
      </c>
    </row>
    <row r="103" spans="2:10" ht="16.5" thickTop="1" thickBot="1" x14ac:dyDescent="0.3">
      <c r="B103" s="347" t="s">
        <v>306</v>
      </c>
      <c r="C103" s="348" t="s">
        <v>426</v>
      </c>
      <c r="D103" s="349">
        <v>4</v>
      </c>
      <c r="E103" s="350">
        <v>60000</v>
      </c>
      <c r="F103" s="349">
        <v>2</v>
      </c>
      <c r="G103" s="350">
        <f>(D103*E103)/F103</f>
        <v>120000</v>
      </c>
    </row>
    <row r="104" spans="2:10" ht="16.5" thickTop="1" thickBot="1" x14ac:dyDescent="0.3">
      <c r="B104" s="331"/>
      <c r="C104" s="351"/>
      <c r="D104" s="299"/>
      <c r="E104" s="350"/>
      <c r="F104" s="299"/>
      <c r="G104" s="350"/>
      <c r="I104" s="375"/>
    </row>
    <row r="105" spans="2:10" ht="16.5" thickTop="1" thickBot="1" x14ac:dyDescent="0.3">
      <c r="F105" s="314" t="s">
        <v>398</v>
      </c>
      <c r="G105" s="315">
        <f>SUM(G103:G104)</f>
        <v>120000</v>
      </c>
    </row>
    <row r="106" spans="2:10" ht="16.5" thickTop="1" thickBot="1" x14ac:dyDescent="0.3">
      <c r="G106" s="269"/>
      <c r="I106" s="256"/>
    </row>
    <row r="107" spans="2:10" ht="16.5" thickTop="1" thickBot="1" x14ac:dyDescent="0.3">
      <c r="B107" s="930" t="s">
        <v>422</v>
      </c>
      <c r="C107" s="931"/>
      <c r="D107" s="931"/>
      <c r="E107" s="931"/>
      <c r="F107" s="352"/>
      <c r="G107" s="353">
        <f>G77+G89+G97+G105</f>
        <v>1309170</v>
      </c>
    </row>
    <row r="108" spans="2:10" ht="16.5" thickTop="1" thickBot="1" x14ac:dyDescent="0.3">
      <c r="B108" s="930" t="s">
        <v>423</v>
      </c>
      <c r="C108" s="931"/>
      <c r="D108" s="931"/>
      <c r="E108" s="931"/>
      <c r="F108" s="354">
        <v>0</v>
      </c>
      <c r="G108" s="355"/>
    </row>
    <row r="109" spans="2:10" ht="16.5" thickTop="1" thickBot="1" x14ac:dyDescent="0.3">
      <c r="B109" s="356" t="s">
        <v>424</v>
      </c>
      <c r="C109" s="357"/>
      <c r="D109" s="357"/>
      <c r="E109" s="357"/>
      <c r="F109" s="358"/>
      <c r="G109" s="359">
        <f>G107</f>
        <v>1309170</v>
      </c>
      <c r="I109" s="360"/>
      <c r="J109" s="360"/>
    </row>
    <row r="110" spans="2:10" ht="15.75" thickTop="1" x14ac:dyDescent="0.25">
      <c r="B110" s="376"/>
      <c r="C110" s="376"/>
      <c r="D110" s="376"/>
      <c r="E110" s="376"/>
      <c r="F110" s="377"/>
      <c r="G110" s="378"/>
    </row>
    <row r="111" spans="2:10" x14ac:dyDescent="0.25">
      <c r="B111" s="376"/>
      <c r="C111" s="362" t="s">
        <v>425</v>
      </c>
      <c r="G111" s="378"/>
    </row>
    <row r="112" spans="2:10" ht="15" customHeight="1" x14ac:dyDescent="0.25">
      <c r="B112" s="376"/>
      <c r="C112" s="932" t="s">
        <v>621</v>
      </c>
      <c r="D112" s="932"/>
      <c r="E112" s="932"/>
      <c r="F112" s="932"/>
      <c r="G112" s="378"/>
    </row>
    <row r="113" spans="1:8" x14ac:dyDescent="0.25">
      <c r="B113" s="376"/>
      <c r="C113" s="379"/>
      <c r="D113" s="379"/>
      <c r="E113" s="379"/>
      <c r="F113" s="379"/>
      <c r="G113" s="378"/>
    </row>
    <row r="114" spans="1:8" x14ac:dyDescent="0.25">
      <c r="B114" s="376"/>
      <c r="C114" s="379"/>
      <c r="D114" s="379"/>
      <c r="E114" s="379"/>
      <c r="F114" s="379"/>
      <c r="G114" s="378"/>
    </row>
    <row r="115" spans="1:8" x14ac:dyDescent="0.25">
      <c r="B115" s="376"/>
      <c r="C115" s="379"/>
      <c r="D115" s="379"/>
      <c r="E115" s="379"/>
      <c r="F115" s="379"/>
      <c r="G115" s="378"/>
    </row>
    <row r="116" spans="1:8" x14ac:dyDescent="0.25">
      <c r="A116" s="380"/>
      <c r="B116" s="380"/>
      <c r="C116" s="380"/>
      <c r="D116" s="380"/>
      <c r="E116" s="380"/>
      <c r="F116" s="380"/>
      <c r="G116" s="380"/>
      <c r="H116" s="380"/>
    </row>
    <row r="117" spans="1:8" ht="15.75" thickBot="1" x14ac:dyDescent="0.3"/>
    <row r="118" spans="1:8" ht="15.75" thickTop="1" x14ac:dyDescent="0.25">
      <c r="A118" s="940" t="s">
        <v>378</v>
      </c>
      <c r="B118" s="941"/>
      <c r="C118" s="941"/>
      <c r="D118" s="941"/>
      <c r="E118" s="941"/>
      <c r="F118" s="941"/>
      <c r="G118" s="941"/>
      <c r="H118" s="942"/>
    </row>
    <row r="119" spans="1:8" x14ac:dyDescent="0.25">
      <c r="A119" s="943" t="s">
        <v>379</v>
      </c>
      <c r="B119" s="944"/>
      <c r="C119" s="944"/>
      <c r="D119" s="944"/>
      <c r="E119" s="944"/>
      <c r="F119" s="944"/>
      <c r="G119" s="944"/>
      <c r="H119" s="945"/>
    </row>
    <row r="120" spans="1:8" ht="15.75" thickBot="1" x14ac:dyDescent="0.3">
      <c r="A120" s="946" t="s">
        <v>261</v>
      </c>
      <c r="B120" s="947"/>
      <c r="C120" s="947"/>
      <c r="D120" s="947"/>
      <c r="E120" s="947"/>
      <c r="F120" s="947"/>
      <c r="G120" s="947"/>
      <c r="H120" s="948"/>
    </row>
    <row r="121" spans="1:8" ht="16.5" thickTop="1" thickBot="1" x14ac:dyDescent="0.3">
      <c r="A121" s="949" t="s">
        <v>30</v>
      </c>
      <c r="B121" s="950"/>
      <c r="C121" s="950"/>
      <c r="D121" s="950"/>
      <c r="E121" s="950"/>
      <c r="F121" s="950"/>
      <c r="G121" s="950"/>
      <c r="H121" s="951"/>
    </row>
    <row r="122" spans="1:8" ht="15.75" thickTop="1" x14ac:dyDescent="0.25">
      <c r="A122" s="277" t="s">
        <v>380</v>
      </c>
      <c r="B122" s="952" t="s">
        <v>427</v>
      </c>
      <c r="C122" s="952"/>
      <c r="D122" s="952"/>
      <c r="E122" s="952"/>
      <c r="F122" s="952"/>
      <c r="G122" s="278"/>
      <c r="H122" s="279"/>
    </row>
    <row r="123" spans="1:8" x14ac:dyDescent="0.25">
      <c r="A123" s="280" t="s">
        <v>382</v>
      </c>
      <c r="B123" s="281" t="s">
        <v>183</v>
      </c>
      <c r="C123" s="281" t="str">
        <f>'[2]Ppto Obra Semaforizacion'!B3</f>
        <v>PRELIMINARES</v>
      </c>
      <c r="D123" s="281"/>
      <c r="E123" s="282"/>
      <c r="F123" s="283" t="s">
        <v>383</v>
      </c>
      <c r="G123" s="284" t="s">
        <v>169</v>
      </c>
      <c r="H123" s="285"/>
    </row>
    <row r="124" spans="1:8" ht="28.5" customHeight="1" thickBot="1" x14ac:dyDescent="0.3">
      <c r="A124" s="286" t="s">
        <v>384</v>
      </c>
      <c r="B124" s="287" t="s">
        <v>282</v>
      </c>
      <c r="C124" s="953" t="str">
        <f>'[2]Ppto Obra Semaforizacion'!B6</f>
        <v>DESMANTELAMIENTO, RETIRO Y TRANSPORTE DE CONTROLADOR EXISTENTE.</v>
      </c>
      <c r="D124" s="953"/>
      <c r="E124" s="953"/>
      <c r="F124" s="288" t="s">
        <v>385</v>
      </c>
      <c r="G124" s="287" t="s">
        <v>620</v>
      </c>
      <c r="H124" s="289"/>
    </row>
    <row r="125" spans="1:8" ht="16.5" thickTop="1" thickBot="1" x14ac:dyDescent="0.3"/>
    <row r="126" spans="1:8" ht="16.5" thickTop="1" thickBot="1" x14ac:dyDescent="0.3">
      <c r="B126" s="290" t="s">
        <v>183</v>
      </c>
      <c r="C126" s="937" t="s">
        <v>386</v>
      </c>
      <c r="D126" s="938"/>
      <c r="E126" s="938"/>
      <c r="F126" s="938"/>
      <c r="G126" s="939"/>
    </row>
    <row r="127" spans="1:8" ht="15.75" thickTop="1" x14ac:dyDescent="0.25">
      <c r="B127" s="291"/>
      <c r="C127" s="290"/>
      <c r="D127" s="290"/>
      <c r="E127" s="290" t="s">
        <v>387</v>
      </c>
      <c r="F127" s="290" t="s">
        <v>388</v>
      </c>
      <c r="G127" s="290" t="s">
        <v>122</v>
      </c>
    </row>
    <row r="128" spans="1:8" x14ac:dyDescent="0.25">
      <c r="B128" s="293"/>
      <c r="C128" s="294" t="s">
        <v>8</v>
      </c>
      <c r="D128" s="294" t="s">
        <v>389</v>
      </c>
      <c r="E128" s="294" t="s">
        <v>390</v>
      </c>
      <c r="F128" s="294" t="s">
        <v>391</v>
      </c>
      <c r="G128" s="294" t="s">
        <v>392</v>
      </c>
    </row>
    <row r="129" spans="2:10" ht="15.75" thickBot="1" x14ac:dyDescent="0.3">
      <c r="B129" s="295"/>
      <c r="C129" s="295"/>
      <c r="D129" s="296" t="s">
        <v>393</v>
      </c>
      <c r="E129" s="296" t="s">
        <v>394</v>
      </c>
      <c r="F129" s="296" t="s">
        <v>395</v>
      </c>
      <c r="G129" s="296" t="s">
        <v>396</v>
      </c>
    </row>
    <row r="130" spans="2:10" ht="16.5" thickTop="1" thickBot="1" x14ac:dyDescent="0.3">
      <c r="B130" s="297" t="s">
        <v>185</v>
      </c>
      <c r="C130" s="298" t="s">
        <v>262</v>
      </c>
      <c r="D130" s="299">
        <v>1</v>
      </c>
      <c r="E130" s="292">
        <v>100228</v>
      </c>
      <c r="F130" s="300">
        <v>1</v>
      </c>
      <c r="G130" s="301">
        <f>D130*E130/F130</f>
        <v>100228</v>
      </c>
    </row>
    <row r="131" spans="2:10" ht="15.75" thickTop="1" x14ac:dyDescent="0.25">
      <c r="B131" s="381"/>
      <c r="C131" s="382"/>
      <c r="D131" s="307"/>
      <c r="E131" s="308"/>
      <c r="F131" s="309"/>
      <c r="G131" s="308"/>
    </row>
    <row r="132" spans="2:10" ht="15.75" thickBot="1" x14ac:dyDescent="0.3">
      <c r="B132" s="323"/>
      <c r="C132" s="383"/>
      <c r="D132" s="325"/>
      <c r="E132" s="326"/>
      <c r="F132" s="384"/>
      <c r="G132" s="326"/>
    </row>
    <row r="133" spans="2:10" ht="16.5" thickTop="1" thickBot="1" x14ac:dyDescent="0.3">
      <c r="F133" s="314" t="s">
        <v>398</v>
      </c>
      <c r="G133" s="315">
        <f>SUM(G130:G132)</f>
        <v>100228</v>
      </c>
      <c r="I133" s="316"/>
    </row>
    <row r="134" spans="2:10" ht="16.5" thickTop="1" thickBot="1" x14ac:dyDescent="0.3"/>
    <row r="135" spans="2:10" ht="16.5" thickTop="1" thickBot="1" x14ac:dyDescent="0.3">
      <c r="B135" s="317" t="s">
        <v>192</v>
      </c>
      <c r="C135" s="933" t="s">
        <v>399</v>
      </c>
      <c r="D135" s="933"/>
      <c r="E135" s="933"/>
      <c r="F135" s="933"/>
      <c r="G135" s="933"/>
    </row>
    <row r="136" spans="2:10" ht="15.75" thickTop="1" x14ac:dyDescent="0.25">
      <c r="B136" s="318"/>
      <c r="C136" s="290"/>
      <c r="D136" s="290"/>
      <c r="E136" s="290"/>
      <c r="F136" s="290" t="s">
        <v>122</v>
      </c>
      <c r="G136" s="290" t="s">
        <v>122</v>
      </c>
    </row>
    <row r="137" spans="2:10" x14ac:dyDescent="0.25">
      <c r="B137" s="319"/>
      <c r="C137" s="294" t="s">
        <v>8</v>
      </c>
      <c r="D137" s="294" t="s">
        <v>169</v>
      </c>
      <c r="E137" s="294" t="s">
        <v>0</v>
      </c>
      <c r="F137" s="294" t="s">
        <v>400</v>
      </c>
      <c r="G137" s="294" t="s">
        <v>392</v>
      </c>
    </row>
    <row r="138" spans="2:10" ht="15.75" thickBot="1" x14ac:dyDescent="0.3">
      <c r="B138" s="320"/>
      <c r="C138" s="295"/>
      <c r="D138" s="321"/>
      <c r="E138" s="296" t="s">
        <v>401</v>
      </c>
      <c r="F138" s="296" t="s">
        <v>402</v>
      </c>
      <c r="G138" s="296" t="s">
        <v>403</v>
      </c>
    </row>
    <row r="139" spans="2:10" ht="15.75" thickTop="1" x14ac:dyDescent="0.25">
      <c r="B139" s="323" t="s">
        <v>289</v>
      </c>
      <c r="C139" s="383" t="s">
        <v>428</v>
      </c>
      <c r="D139" s="370" t="s">
        <v>429</v>
      </c>
      <c r="E139" s="370">
        <v>1</v>
      </c>
      <c r="F139" s="369">
        <v>175114</v>
      </c>
      <c r="G139" s="385">
        <v>175114</v>
      </c>
    </row>
    <row r="140" spans="2:10" ht="15.75" thickBot="1" x14ac:dyDescent="0.3">
      <c r="B140" s="343"/>
      <c r="C140" s="371"/>
      <c r="D140" s="372"/>
      <c r="E140" s="373"/>
      <c r="F140" s="374"/>
      <c r="G140" s="326"/>
    </row>
    <row r="141" spans="2:10" ht="15.75" thickTop="1" x14ac:dyDescent="0.25">
      <c r="B141" s="345"/>
      <c r="C141" s="346"/>
      <c r="D141" s="342"/>
      <c r="E141" s="326"/>
      <c r="F141" s="325"/>
      <c r="G141" s="326"/>
    </row>
    <row r="142" spans="2:10" x14ac:dyDescent="0.25">
      <c r="D142" s="934" t="s">
        <v>404</v>
      </c>
      <c r="E142" s="934"/>
      <c r="F142" s="335"/>
      <c r="G142" s="336"/>
      <c r="I142" s="316"/>
    </row>
    <row r="143" spans="2:10" x14ac:dyDescent="0.25">
      <c r="D143" s="935" t="s">
        <v>405</v>
      </c>
      <c r="E143" s="935"/>
      <c r="F143" s="337"/>
      <c r="G143" s="338"/>
    </row>
    <row r="144" spans="2:10" ht="15.75" thickBot="1" x14ac:dyDescent="0.3">
      <c r="D144" s="936" t="s">
        <v>406</v>
      </c>
      <c r="E144" s="936"/>
      <c r="F144" s="339"/>
      <c r="G144" s="292">
        <f>SUM(G139:G141)</f>
        <v>175114</v>
      </c>
      <c r="J144" s="313"/>
    </row>
    <row r="145" spans="2:10" ht="16.5" thickTop="1" thickBot="1" x14ac:dyDescent="0.3"/>
    <row r="146" spans="2:10" ht="16.5" thickTop="1" thickBot="1" x14ac:dyDescent="0.3">
      <c r="B146" s="290" t="s">
        <v>407</v>
      </c>
      <c r="C146" s="933" t="s">
        <v>408</v>
      </c>
      <c r="D146" s="933"/>
      <c r="E146" s="933"/>
      <c r="F146" s="933"/>
      <c r="G146" s="933"/>
      <c r="I146" s="313"/>
    </row>
    <row r="147" spans="2:10" ht="15.75" thickTop="1" x14ac:dyDescent="0.25">
      <c r="B147" s="291"/>
      <c r="C147" s="290"/>
      <c r="D147" s="290"/>
      <c r="E147" s="290" t="s">
        <v>52</v>
      </c>
      <c r="F147" s="290" t="s">
        <v>388</v>
      </c>
      <c r="G147" s="290" t="s">
        <v>122</v>
      </c>
    </row>
    <row r="148" spans="2:10" x14ac:dyDescent="0.25">
      <c r="B148" s="293"/>
      <c r="C148" s="294" t="s">
        <v>8</v>
      </c>
      <c r="D148" s="294" t="s">
        <v>389</v>
      </c>
      <c r="E148" s="294" t="s">
        <v>409</v>
      </c>
      <c r="F148" s="294" t="s">
        <v>391</v>
      </c>
      <c r="G148" s="294" t="s">
        <v>392</v>
      </c>
    </row>
    <row r="149" spans="2:10" ht="15.75" thickBot="1" x14ac:dyDescent="0.3">
      <c r="B149" s="295"/>
      <c r="C149" s="295"/>
      <c r="D149" s="296" t="s">
        <v>410</v>
      </c>
      <c r="E149" s="296" t="s">
        <v>411</v>
      </c>
      <c r="F149" s="296" t="s">
        <v>412</v>
      </c>
      <c r="G149" s="296" t="s">
        <v>413</v>
      </c>
    </row>
    <row r="150" spans="2:10" ht="15.75" thickTop="1" x14ac:dyDescent="0.25">
      <c r="B150" s="340" t="s">
        <v>296</v>
      </c>
      <c r="C150" s="367" t="s">
        <v>414</v>
      </c>
      <c r="D150" s="368">
        <v>4</v>
      </c>
      <c r="E150" s="369">
        <v>48802</v>
      </c>
      <c r="F150" s="370">
        <v>1</v>
      </c>
      <c r="G150" s="326">
        <f>D150*E150/F150</f>
        <v>195208</v>
      </c>
    </row>
    <row r="151" spans="2:10" ht="15.75" thickBot="1" x14ac:dyDescent="0.3">
      <c r="B151" s="343" t="s">
        <v>298</v>
      </c>
      <c r="C151" s="371" t="s">
        <v>415</v>
      </c>
      <c r="D151" s="372">
        <v>2</v>
      </c>
      <c r="E151" s="373">
        <v>96924</v>
      </c>
      <c r="F151" s="374">
        <v>1</v>
      </c>
      <c r="G151" s="326">
        <f>D151*E151/F151</f>
        <v>193848</v>
      </c>
    </row>
    <row r="152" spans="2:10" ht="16.5" thickTop="1" thickBot="1" x14ac:dyDescent="0.3">
      <c r="B152" s="345" t="s">
        <v>296</v>
      </c>
      <c r="C152" s="346" t="s">
        <v>430</v>
      </c>
      <c r="D152" s="342">
        <v>1</v>
      </c>
      <c r="E152" s="326">
        <v>136523</v>
      </c>
      <c r="F152" s="325">
        <v>1</v>
      </c>
      <c r="G152" s="326">
        <f>D152*E152/F152</f>
        <v>136523</v>
      </c>
    </row>
    <row r="153" spans="2:10" ht="16.5" thickTop="1" thickBot="1" x14ac:dyDescent="0.3">
      <c r="F153" s="314" t="s">
        <v>398</v>
      </c>
      <c r="G153" s="315">
        <f>SUM(G150:G151)</f>
        <v>389056</v>
      </c>
    </row>
    <row r="154" spans="2:10" ht="16.5" thickTop="1" thickBot="1" x14ac:dyDescent="0.3"/>
    <row r="155" spans="2:10" ht="16.5" thickTop="1" thickBot="1" x14ac:dyDescent="0.3">
      <c r="B155" s="290" t="s">
        <v>303</v>
      </c>
      <c r="C155" s="933" t="s">
        <v>416</v>
      </c>
      <c r="D155" s="933"/>
      <c r="E155" s="933"/>
      <c r="F155" s="933"/>
      <c r="G155" s="933"/>
    </row>
    <row r="156" spans="2:10" ht="15.75" thickTop="1" x14ac:dyDescent="0.25">
      <c r="B156" s="291"/>
      <c r="C156" s="290"/>
      <c r="D156" s="290"/>
      <c r="E156" s="290"/>
      <c r="F156" s="290"/>
      <c r="G156" s="290" t="s">
        <v>122</v>
      </c>
    </row>
    <row r="157" spans="2:10" x14ac:dyDescent="0.25">
      <c r="B157" s="293"/>
      <c r="C157" s="294" t="s">
        <v>8</v>
      </c>
      <c r="D157" s="294" t="s">
        <v>389</v>
      </c>
      <c r="E157" s="294" t="s">
        <v>182</v>
      </c>
      <c r="F157" s="294" t="s">
        <v>388</v>
      </c>
      <c r="G157" s="294" t="s">
        <v>392</v>
      </c>
    </row>
    <row r="158" spans="2:10" ht="15.75" thickBot="1" x14ac:dyDescent="0.3">
      <c r="B158" s="295"/>
      <c r="C158" s="295"/>
      <c r="D158" s="296" t="s">
        <v>417</v>
      </c>
      <c r="E158" s="296" t="s">
        <v>418</v>
      </c>
      <c r="F158" s="296" t="s">
        <v>419</v>
      </c>
      <c r="G158" s="296" t="s">
        <v>420</v>
      </c>
    </row>
    <row r="159" spans="2:10" ht="15.75" thickTop="1" x14ac:dyDescent="0.25">
      <c r="B159" s="347" t="s">
        <v>306</v>
      </c>
      <c r="C159" s="348" t="s">
        <v>431</v>
      </c>
      <c r="D159" s="349">
        <v>2</v>
      </c>
      <c r="E159" s="350">
        <v>60000</v>
      </c>
      <c r="F159" s="349">
        <v>1</v>
      </c>
      <c r="G159" s="350">
        <f>(D159*E159)/F159</f>
        <v>120000</v>
      </c>
    </row>
    <row r="160" spans="2:10" ht="15.75" thickBot="1" x14ac:dyDescent="0.3">
      <c r="B160" s="331"/>
      <c r="C160" s="351"/>
      <c r="D160" s="299"/>
      <c r="E160" s="299"/>
      <c r="F160" s="299"/>
      <c r="G160" s="292"/>
      <c r="I160" s="313"/>
      <c r="J160" s="313"/>
    </row>
    <row r="161" spans="2:9" ht="16.5" thickTop="1" thickBot="1" x14ac:dyDescent="0.3">
      <c r="F161" s="314" t="s">
        <v>398</v>
      </c>
      <c r="G161" s="315">
        <f>SUM(G159:G160)</f>
        <v>120000</v>
      </c>
    </row>
    <row r="162" spans="2:9" ht="16.5" thickTop="1" thickBot="1" x14ac:dyDescent="0.3">
      <c r="G162" s="269"/>
    </row>
    <row r="163" spans="2:9" ht="16.5" thickTop="1" thickBot="1" x14ac:dyDescent="0.3">
      <c r="B163" s="928" t="s">
        <v>422</v>
      </c>
      <c r="C163" s="929"/>
      <c r="D163" s="929"/>
      <c r="E163" s="929"/>
      <c r="F163" s="352"/>
      <c r="G163" s="353">
        <f>G133+G144+G153+G161</f>
        <v>784398</v>
      </c>
    </row>
    <row r="164" spans="2:9" ht="16.5" thickTop="1" thickBot="1" x14ac:dyDescent="0.3">
      <c r="B164" s="930" t="s">
        <v>423</v>
      </c>
      <c r="C164" s="931"/>
      <c r="D164" s="931"/>
      <c r="E164" s="931"/>
      <c r="F164" s="354">
        <v>0</v>
      </c>
      <c r="G164" s="355"/>
      <c r="I164" s="386"/>
    </row>
    <row r="165" spans="2:9" ht="16.5" thickTop="1" thickBot="1" x14ac:dyDescent="0.3">
      <c r="B165" s="356" t="s">
        <v>424</v>
      </c>
      <c r="C165" s="357"/>
      <c r="D165" s="357"/>
      <c r="E165" s="357"/>
      <c r="F165" s="358"/>
      <c r="G165" s="359">
        <f>G163</f>
        <v>784398</v>
      </c>
      <c r="I165" s="360"/>
    </row>
    <row r="166" spans="2:9" ht="15.75" thickTop="1" x14ac:dyDescent="0.25">
      <c r="B166" s="376"/>
      <c r="C166" s="376"/>
      <c r="D166" s="376"/>
      <c r="E166" s="376"/>
      <c r="F166" s="377"/>
      <c r="G166" s="378"/>
    </row>
    <row r="167" spans="2:9" x14ac:dyDescent="0.25">
      <c r="B167" s="376"/>
      <c r="C167" s="362" t="s">
        <v>425</v>
      </c>
      <c r="G167" s="378"/>
    </row>
    <row r="168" spans="2:9" ht="12.75" customHeight="1" x14ac:dyDescent="0.25">
      <c r="B168" s="376"/>
      <c r="C168" s="932" t="s">
        <v>621</v>
      </c>
      <c r="D168" s="932"/>
      <c r="E168" s="932"/>
      <c r="F168" s="932"/>
      <c r="G168" s="378"/>
    </row>
    <row r="169" spans="2:9" x14ac:dyDescent="0.25">
      <c r="B169" s="376"/>
      <c r="C169" s="379"/>
      <c r="D169" s="379"/>
      <c r="E169" s="379"/>
      <c r="F169" s="379"/>
      <c r="G169" s="378"/>
    </row>
    <row r="170" spans="2:9" x14ac:dyDescent="0.25">
      <c r="B170" s="376"/>
      <c r="C170" s="379"/>
      <c r="D170" s="379"/>
      <c r="E170" s="379"/>
      <c r="F170" s="379"/>
      <c r="G170" s="378"/>
    </row>
    <row r="171" spans="2:9" x14ac:dyDescent="0.25">
      <c r="B171" s="376"/>
      <c r="C171" s="379"/>
      <c r="D171" s="379"/>
      <c r="E171" s="379"/>
      <c r="F171" s="379"/>
      <c r="G171" s="378"/>
    </row>
    <row r="172" spans="2:9" x14ac:dyDescent="0.25">
      <c r="B172" s="376"/>
      <c r="C172" s="379"/>
      <c r="D172" s="379"/>
      <c r="E172" s="379"/>
      <c r="F172" s="379"/>
      <c r="G172" s="378"/>
    </row>
    <row r="173" spans="2:9" x14ac:dyDescent="0.25">
      <c r="B173" s="376"/>
      <c r="C173" s="379"/>
      <c r="D173" s="379"/>
      <c r="E173" s="379"/>
      <c r="F173" s="379"/>
      <c r="G173" s="378"/>
    </row>
    <row r="174" spans="2:9" x14ac:dyDescent="0.25">
      <c r="B174" s="376"/>
      <c r="C174" s="379"/>
      <c r="D174" s="379"/>
      <c r="E174" s="379"/>
      <c r="F174" s="379"/>
      <c r="G174" s="378"/>
    </row>
    <row r="175" spans="2:9" x14ac:dyDescent="0.25">
      <c r="B175" s="376"/>
      <c r="C175" s="379"/>
      <c r="D175" s="379"/>
      <c r="E175" s="379"/>
      <c r="F175" s="379"/>
      <c r="G175" s="378"/>
    </row>
    <row r="176" spans="2:9" x14ac:dyDescent="0.25">
      <c r="B176" s="376"/>
      <c r="C176" s="379"/>
      <c r="D176" s="379"/>
      <c r="E176" s="379"/>
      <c r="F176" s="379"/>
      <c r="G176" s="378"/>
    </row>
    <row r="177" spans="1:8" ht="15.75" thickBot="1" x14ac:dyDescent="0.3">
      <c r="B177" s="376"/>
      <c r="C177" s="379"/>
      <c r="D177" s="379"/>
      <c r="E177" s="379"/>
      <c r="F177" s="379"/>
      <c r="G177" s="378"/>
    </row>
    <row r="178" spans="1:8" ht="15.75" thickTop="1" x14ac:dyDescent="0.25">
      <c r="A178" s="940" t="s">
        <v>378</v>
      </c>
      <c r="B178" s="941"/>
      <c r="C178" s="941"/>
      <c r="D178" s="941"/>
      <c r="E178" s="941"/>
      <c r="F178" s="941"/>
      <c r="G178" s="941"/>
      <c r="H178" s="942"/>
    </row>
    <row r="179" spans="1:8" x14ac:dyDescent="0.25">
      <c r="A179" s="943" t="s">
        <v>379</v>
      </c>
      <c r="B179" s="944"/>
      <c r="C179" s="944"/>
      <c r="D179" s="944"/>
      <c r="E179" s="944"/>
      <c r="F179" s="944"/>
      <c r="G179" s="944"/>
      <c r="H179" s="945"/>
    </row>
    <row r="180" spans="1:8" ht="15.75" thickBot="1" x14ac:dyDescent="0.3">
      <c r="A180" s="946" t="s">
        <v>261</v>
      </c>
      <c r="B180" s="947"/>
      <c r="C180" s="947"/>
      <c r="D180" s="947"/>
      <c r="E180" s="947"/>
      <c r="F180" s="947"/>
      <c r="G180" s="947"/>
      <c r="H180" s="948"/>
    </row>
    <row r="181" spans="1:8" ht="16.5" thickTop="1" thickBot="1" x14ac:dyDescent="0.3">
      <c r="A181" s="949" t="s">
        <v>30</v>
      </c>
      <c r="B181" s="950"/>
      <c r="C181" s="950"/>
      <c r="D181" s="950"/>
      <c r="E181" s="950"/>
      <c r="F181" s="950"/>
      <c r="G181" s="950"/>
      <c r="H181" s="951"/>
    </row>
    <row r="182" spans="1:8" ht="15.75" thickTop="1" x14ac:dyDescent="0.25">
      <c r="A182" s="277" t="s">
        <v>380</v>
      </c>
      <c r="B182" s="952" t="s">
        <v>427</v>
      </c>
      <c r="C182" s="952"/>
      <c r="D182" s="952"/>
      <c r="E182" s="952"/>
      <c r="F182" s="952"/>
      <c r="G182" s="278"/>
      <c r="H182" s="279"/>
    </row>
    <row r="183" spans="1:8" x14ac:dyDescent="0.25">
      <c r="A183" s="280" t="s">
        <v>382</v>
      </c>
      <c r="B183" s="281" t="s">
        <v>183</v>
      </c>
      <c r="C183" s="281" t="str">
        <f>'[2]Ppto Obra Semaforizacion'!B3</f>
        <v>PRELIMINARES</v>
      </c>
      <c r="D183" s="281"/>
      <c r="E183" s="282"/>
      <c r="F183" s="283" t="s">
        <v>383</v>
      </c>
      <c r="G183" s="284" t="s">
        <v>169</v>
      </c>
      <c r="H183" s="285"/>
    </row>
    <row r="184" spans="1:8" ht="28.5" customHeight="1" thickBot="1" x14ac:dyDescent="0.3">
      <c r="A184" s="286" t="s">
        <v>384</v>
      </c>
      <c r="B184" s="287" t="s">
        <v>284</v>
      </c>
      <c r="C184" s="953" t="str">
        <f>'[2]Ppto Obra Semaforizacion'!B7</f>
        <v>DESMANTELAMIENTO, RETIRO Y TRANSPORTE DE CABLEADO EXISTENTE.</v>
      </c>
      <c r="D184" s="953"/>
      <c r="E184" s="953"/>
      <c r="F184" s="288" t="s">
        <v>385</v>
      </c>
      <c r="G184" s="287" t="s">
        <v>620</v>
      </c>
      <c r="H184" s="289"/>
    </row>
    <row r="185" spans="1:8" ht="16.5" thickTop="1" thickBot="1" x14ac:dyDescent="0.3"/>
    <row r="186" spans="1:8" ht="16.5" thickTop="1" thickBot="1" x14ac:dyDescent="0.3">
      <c r="B186" s="290" t="s">
        <v>183</v>
      </c>
      <c r="C186" s="937" t="s">
        <v>386</v>
      </c>
      <c r="D186" s="938"/>
      <c r="E186" s="938"/>
      <c r="F186" s="938"/>
      <c r="G186" s="939"/>
    </row>
    <row r="187" spans="1:8" ht="15.75" thickTop="1" x14ac:dyDescent="0.25">
      <c r="B187" s="291"/>
      <c r="C187" s="290"/>
      <c r="D187" s="290"/>
      <c r="E187" s="290" t="s">
        <v>387</v>
      </c>
      <c r="F187" s="290" t="s">
        <v>388</v>
      </c>
      <c r="G187" s="290" t="s">
        <v>122</v>
      </c>
    </row>
    <row r="188" spans="1:8" x14ac:dyDescent="0.25">
      <c r="B188" s="293"/>
      <c r="C188" s="294" t="s">
        <v>8</v>
      </c>
      <c r="D188" s="294" t="s">
        <v>389</v>
      </c>
      <c r="E188" s="294" t="s">
        <v>390</v>
      </c>
      <c r="F188" s="294" t="s">
        <v>391</v>
      </c>
      <c r="G188" s="294" t="s">
        <v>392</v>
      </c>
    </row>
    <row r="189" spans="1:8" ht="15.75" thickBot="1" x14ac:dyDescent="0.3">
      <c r="B189" s="295"/>
      <c r="C189" s="295"/>
      <c r="D189" s="296" t="s">
        <v>393</v>
      </c>
      <c r="E189" s="296" t="s">
        <v>394</v>
      </c>
      <c r="F189" s="296" t="s">
        <v>395</v>
      </c>
      <c r="G189" s="296" t="s">
        <v>396</v>
      </c>
    </row>
    <row r="190" spans="1:8" ht="16.5" thickTop="1" thickBot="1" x14ac:dyDescent="0.3">
      <c r="B190" s="297" t="s">
        <v>185</v>
      </c>
      <c r="C190" s="298" t="s">
        <v>262</v>
      </c>
      <c r="D190" s="299">
        <v>1</v>
      </c>
      <c r="E190" s="292">
        <v>100228</v>
      </c>
      <c r="F190" s="300">
        <v>1</v>
      </c>
      <c r="G190" s="301">
        <f>D190*E190/F190</f>
        <v>100228</v>
      </c>
    </row>
    <row r="191" spans="1:8" ht="15.75" thickTop="1" x14ac:dyDescent="0.25">
      <c r="B191" s="381"/>
      <c r="C191" s="382"/>
      <c r="D191" s="307"/>
      <c r="E191" s="308"/>
      <c r="F191" s="309"/>
      <c r="G191" s="308"/>
    </row>
    <row r="192" spans="1:8" ht="15.75" thickBot="1" x14ac:dyDescent="0.3">
      <c r="B192" s="323"/>
      <c r="C192" s="383"/>
      <c r="D192" s="325"/>
      <c r="E192" s="326"/>
      <c r="F192" s="384"/>
      <c r="G192" s="326"/>
    </row>
    <row r="193" spans="2:7" ht="16.5" thickTop="1" thickBot="1" x14ac:dyDescent="0.3">
      <c r="F193" s="314" t="s">
        <v>398</v>
      </c>
      <c r="G193" s="315">
        <f>SUM(G190:G192)</f>
        <v>100228</v>
      </c>
    </row>
    <row r="194" spans="2:7" ht="16.5" thickTop="1" thickBot="1" x14ac:dyDescent="0.3"/>
    <row r="195" spans="2:7" ht="16.5" thickTop="1" thickBot="1" x14ac:dyDescent="0.3">
      <c r="B195" s="317" t="s">
        <v>192</v>
      </c>
      <c r="C195" s="933" t="s">
        <v>399</v>
      </c>
      <c r="D195" s="933"/>
      <c r="E195" s="933"/>
      <c r="F195" s="933"/>
      <c r="G195" s="933"/>
    </row>
    <row r="196" spans="2:7" ht="15.75" thickTop="1" x14ac:dyDescent="0.25">
      <c r="B196" s="318"/>
      <c r="C196" s="290"/>
      <c r="D196" s="290"/>
      <c r="E196" s="290"/>
      <c r="F196" s="290" t="s">
        <v>122</v>
      </c>
      <c r="G196" s="290" t="s">
        <v>122</v>
      </c>
    </row>
    <row r="197" spans="2:7" x14ac:dyDescent="0.25">
      <c r="B197" s="319"/>
      <c r="C197" s="294" t="s">
        <v>8</v>
      </c>
      <c r="D197" s="294" t="s">
        <v>169</v>
      </c>
      <c r="E197" s="294" t="s">
        <v>0</v>
      </c>
      <c r="F197" s="294" t="s">
        <v>400</v>
      </c>
      <c r="G197" s="294" t="s">
        <v>392</v>
      </c>
    </row>
    <row r="198" spans="2:7" ht="15.75" thickBot="1" x14ac:dyDescent="0.3">
      <c r="B198" s="320"/>
      <c r="C198" s="295"/>
      <c r="D198" s="321"/>
      <c r="E198" s="296" t="s">
        <v>401</v>
      </c>
      <c r="F198" s="296" t="s">
        <v>402</v>
      </c>
      <c r="G198" s="296" t="s">
        <v>403</v>
      </c>
    </row>
    <row r="199" spans="2:7" ht="15.75" thickTop="1" x14ac:dyDescent="0.25">
      <c r="B199" s="323" t="s">
        <v>289</v>
      </c>
      <c r="C199" s="383" t="s">
        <v>432</v>
      </c>
      <c r="D199" s="370" t="s">
        <v>429</v>
      </c>
      <c r="E199" s="370">
        <v>1</v>
      </c>
      <c r="F199" s="369">
        <v>175114</v>
      </c>
      <c r="G199" s="385">
        <v>175114</v>
      </c>
    </row>
    <row r="200" spans="2:7" x14ac:dyDescent="0.25">
      <c r="B200" s="323"/>
      <c r="C200" s="383"/>
      <c r="D200" s="325"/>
      <c r="E200" s="325"/>
      <c r="F200" s="326"/>
      <c r="G200" s="326"/>
    </row>
    <row r="201" spans="2:7" x14ac:dyDescent="0.25">
      <c r="D201" s="934" t="s">
        <v>404</v>
      </c>
      <c r="E201" s="934"/>
      <c r="F201" s="335"/>
      <c r="G201" s="336"/>
    </row>
    <row r="202" spans="2:7" x14ac:dyDescent="0.25">
      <c r="D202" s="935" t="s">
        <v>405</v>
      </c>
      <c r="E202" s="935"/>
      <c r="F202" s="337"/>
      <c r="G202" s="338"/>
    </row>
    <row r="203" spans="2:7" ht="15.75" thickBot="1" x14ac:dyDescent="0.3">
      <c r="D203" s="936" t="s">
        <v>406</v>
      </c>
      <c r="E203" s="936"/>
      <c r="F203" s="339"/>
      <c r="G203" s="292">
        <f>SUM(G199:G200)</f>
        <v>175114</v>
      </c>
    </row>
    <row r="204" spans="2:7" ht="16.5" thickTop="1" thickBot="1" x14ac:dyDescent="0.3"/>
    <row r="205" spans="2:7" ht="16.5" thickTop="1" thickBot="1" x14ac:dyDescent="0.3">
      <c r="B205" s="290" t="s">
        <v>407</v>
      </c>
      <c r="C205" s="933" t="s">
        <v>408</v>
      </c>
      <c r="D205" s="933"/>
      <c r="E205" s="933"/>
      <c r="F205" s="933"/>
      <c r="G205" s="933"/>
    </row>
    <row r="206" spans="2:7" ht="15.75" thickTop="1" x14ac:dyDescent="0.25">
      <c r="B206" s="291"/>
      <c r="C206" s="290"/>
      <c r="D206" s="290"/>
      <c r="E206" s="290" t="s">
        <v>52</v>
      </c>
      <c r="F206" s="290" t="s">
        <v>388</v>
      </c>
      <c r="G206" s="290" t="s">
        <v>122</v>
      </c>
    </row>
    <row r="207" spans="2:7" x14ac:dyDescent="0.25">
      <c r="B207" s="293"/>
      <c r="C207" s="294" t="s">
        <v>8</v>
      </c>
      <c r="D207" s="294" t="s">
        <v>389</v>
      </c>
      <c r="E207" s="294" t="s">
        <v>409</v>
      </c>
      <c r="F207" s="294" t="s">
        <v>391</v>
      </c>
      <c r="G207" s="294" t="s">
        <v>392</v>
      </c>
    </row>
    <row r="208" spans="2:7" ht="15.75" thickBot="1" x14ac:dyDescent="0.3">
      <c r="B208" s="295"/>
      <c r="C208" s="295"/>
      <c r="D208" s="296" t="s">
        <v>410</v>
      </c>
      <c r="E208" s="296" t="s">
        <v>411</v>
      </c>
      <c r="F208" s="296" t="s">
        <v>412</v>
      </c>
      <c r="G208" s="296" t="s">
        <v>413</v>
      </c>
    </row>
    <row r="209" spans="2:7" ht="15.75" thickTop="1" x14ac:dyDescent="0.25">
      <c r="B209" s="340" t="s">
        <v>296</v>
      </c>
      <c r="C209" s="367" t="s">
        <v>414</v>
      </c>
      <c r="D209" s="368">
        <v>3</v>
      </c>
      <c r="E209" s="369">
        <v>48802</v>
      </c>
      <c r="F209" s="370">
        <v>1</v>
      </c>
      <c r="G209" s="326">
        <f>D209*E209/F209</f>
        <v>146406</v>
      </c>
    </row>
    <row r="210" spans="2:7" ht="15.75" thickBot="1" x14ac:dyDescent="0.3">
      <c r="B210" s="345" t="s">
        <v>296</v>
      </c>
      <c r="C210" s="346" t="s">
        <v>430</v>
      </c>
      <c r="D210" s="342">
        <v>1</v>
      </c>
      <c r="E210" s="326">
        <v>136523</v>
      </c>
      <c r="F210" s="325">
        <v>1</v>
      </c>
      <c r="G210" s="326">
        <f>D210*E210/F210</f>
        <v>136523</v>
      </c>
    </row>
    <row r="211" spans="2:7" ht="16.5" thickTop="1" thickBot="1" x14ac:dyDescent="0.3">
      <c r="F211" s="314" t="s">
        <v>398</v>
      </c>
      <c r="G211" s="315">
        <f>SUM(G209:G210)</f>
        <v>282929</v>
      </c>
    </row>
    <row r="212" spans="2:7" ht="16.5" thickTop="1" thickBot="1" x14ac:dyDescent="0.3"/>
    <row r="213" spans="2:7" ht="16.5" thickTop="1" thickBot="1" x14ac:dyDescent="0.3">
      <c r="B213" s="290" t="s">
        <v>303</v>
      </c>
      <c r="C213" s="933" t="s">
        <v>416</v>
      </c>
      <c r="D213" s="933"/>
      <c r="E213" s="933"/>
      <c r="F213" s="933"/>
      <c r="G213" s="933"/>
    </row>
    <row r="214" spans="2:7" ht="15.75" thickTop="1" x14ac:dyDescent="0.25">
      <c r="B214" s="291"/>
      <c r="C214" s="290"/>
      <c r="D214" s="290"/>
      <c r="E214" s="290"/>
      <c r="F214" s="290"/>
      <c r="G214" s="290" t="s">
        <v>122</v>
      </c>
    </row>
    <row r="215" spans="2:7" x14ac:dyDescent="0.25">
      <c r="B215" s="293"/>
      <c r="C215" s="294" t="s">
        <v>8</v>
      </c>
      <c r="D215" s="294" t="s">
        <v>389</v>
      </c>
      <c r="E215" s="294" t="s">
        <v>182</v>
      </c>
      <c r="F215" s="294" t="s">
        <v>388</v>
      </c>
      <c r="G215" s="294" t="s">
        <v>392</v>
      </c>
    </row>
    <row r="216" spans="2:7" ht="15.75" thickBot="1" x14ac:dyDescent="0.3">
      <c r="B216" s="295"/>
      <c r="C216" s="295"/>
      <c r="D216" s="296" t="s">
        <v>417</v>
      </c>
      <c r="E216" s="296" t="s">
        <v>418</v>
      </c>
      <c r="F216" s="296" t="s">
        <v>419</v>
      </c>
      <c r="G216" s="296" t="s">
        <v>420</v>
      </c>
    </row>
    <row r="217" spans="2:7" ht="15.75" thickTop="1" x14ac:dyDescent="0.25">
      <c r="B217" s="347" t="s">
        <v>306</v>
      </c>
      <c r="C217" s="348" t="s">
        <v>433</v>
      </c>
      <c r="D217" s="349">
        <v>2</v>
      </c>
      <c r="E217" s="350">
        <v>60000</v>
      </c>
      <c r="F217" s="349">
        <v>1</v>
      </c>
      <c r="G217" s="350">
        <f>(D217*E217)/F217</f>
        <v>120000</v>
      </c>
    </row>
    <row r="218" spans="2:7" ht="15.75" thickBot="1" x14ac:dyDescent="0.3">
      <c r="B218" s="331"/>
      <c r="C218" s="351"/>
      <c r="D218" s="299"/>
      <c r="E218" s="299"/>
      <c r="F218" s="299"/>
      <c r="G218" s="292"/>
    </row>
    <row r="219" spans="2:7" ht="16.5" thickTop="1" thickBot="1" x14ac:dyDescent="0.3">
      <c r="F219" s="314" t="s">
        <v>398</v>
      </c>
      <c r="G219" s="315">
        <f>SUM(G217:G218)</f>
        <v>120000</v>
      </c>
    </row>
    <row r="220" spans="2:7" ht="16.5" thickTop="1" thickBot="1" x14ac:dyDescent="0.3">
      <c r="G220" s="269"/>
    </row>
    <row r="221" spans="2:7" ht="16.5" thickTop="1" thickBot="1" x14ac:dyDescent="0.3">
      <c r="B221" s="928" t="s">
        <v>422</v>
      </c>
      <c r="C221" s="929"/>
      <c r="D221" s="929"/>
      <c r="E221" s="929"/>
      <c r="F221" s="352"/>
      <c r="G221" s="353">
        <f>G193+G203+G211+G219</f>
        <v>678271</v>
      </c>
    </row>
    <row r="222" spans="2:7" ht="16.5" thickTop="1" thickBot="1" x14ac:dyDescent="0.3">
      <c r="B222" s="930" t="s">
        <v>423</v>
      </c>
      <c r="C222" s="931"/>
      <c r="D222" s="931"/>
      <c r="E222" s="931"/>
      <c r="F222" s="354">
        <v>0</v>
      </c>
      <c r="G222" s="355"/>
    </row>
    <row r="223" spans="2:7" ht="16.5" thickTop="1" thickBot="1" x14ac:dyDescent="0.3">
      <c r="B223" s="356" t="s">
        <v>424</v>
      </c>
      <c r="C223" s="357"/>
      <c r="D223" s="357"/>
      <c r="E223" s="357"/>
      <c r="F223" s="358"/>
      <c r="G223" s="359">
        <f>G221</f>
        <v>678271</v>
      </c>
    </row>
    <row r="224" spans="2:7" ht="15.75" thickTop="1" x14ac:dyDescent="0.25">
      <c r="B224" s="376"/>
      <c r="C224" s="376"/>
      <c r="D224" s="376"/>
      <c r="E224" s="376"/>
      <c r="F224" s="377"/>
      <c r="G224" s="378"/>
    </row>
    <row r="225" spans="1:8" x14ac:dyDescent="0.25">
      <c r="B225" s="376"/>
      <c r="C225" s="362" t="s">
        <v>425</v>
      </c>
      <c r="G225" s="378"/>
    </row>
    <row r="226" spans="1:8" ht="15" customHeight="1" x14ac:dyDescent="0.25">
      <c r="B226" s="376"/>
      <c r="C226" s="932" t="s">
        <v>621</v>
      </c>
      <c r="D226" s="932"/>
      <c r="E226" s="932"/>
      <c r="F226" s="932"/>
      <c r="G226" s="378"/>
    </row>
    <row r="227" spans="1:8" x14ac:dyDescent="0.25">
      <c r="B227" s="376"/>
      <c r="C227" s="379"/>
      <c r="D227" s="379"/>
      <c r="E227" s="379"/>
      <c r="F227" s="379"/>
      <c r="G227" s="378"/>
    </row>
    <row r="228" spans="1:8" x14ac:dyDescent="0.25">
      <c r="B228" s="376"/>
      <c r="C228" s="379"/>
      <c r="D228" s="379"/>
      <c r="E228" s="379"/>
      <c r="F228" s="379"/>
      <c r="G228" s="378"/>
    </row>
    <row r="229" spans="1:8" x14ac:dyDescent="0.25">
      <c r="B229" s="376"/>
      <c r="C229" s="379"/>
      <c r="D229" s="379"/>
      <c r="E229" s="379"/>
      <c r="F229" s="379"/>
      <c r="G229" s="378"/>
    </row>
    <row r="230" spans="1:8" x14ac:dyDescent="0.25">
      <c r="B230" s="376"/>
      <c r="C230" s="379"/>
      <c r="D230" s="379"/>
      <c r="E230" s="379"/>
      <c r="F230" s="379"/>
      <c r="G230" s="378"/>
    </row>
    <row r="231" spans="1:8" x14ac:dyDescent="0.25">
      <c r="B231" s="376"/>
      <c r="C231" s="379"/>
      <c r="D231" s="379"/>
      <c r="E231" s="379"/>
      <c r="F231" s="379"/>
      <c r="G231" s="378"/>
    </row>
    <row r="232" spans="1:8" x14ac:dyDescent="0.25">
      <c r="B232" s="376"/>
      <c r="C232" s="379"/>
      <c r="D232" s="379"/>
      <c r="E232" s="379"/>
      <c r="F232" s="379"/>
      <c r="G232" s="378"/>
    </row>
    <row r="233" spans="1:8" x14ac:dyDescent="0.25">
      <c r="B233" s="376"/>
      <c r="C233" s="379"/>
      <c r="D233" s="379"/>
      <c r="E233" s="379"/>
      <c r="F233" s="379"/>
      <c r="G233" s="378"/>
    </row>
    <row r="234" spans="1:8" x14ac:dyDescent="0.25">
      <c r="B234" s="376"/>
      <c r="C234" s="379"/>
      <c r="D234" s="379"/>
      <c r="E234" s="379"/>
      <c r="F234" s="379"/>
      <c r="G234" s="378"/>
    </row>
    <row r="235" spans="1:8" ht="15.75" thickBot="1" x14ac:dyDescent="0.3"/>
    <row r="236" spans="1:8" ht="15.75" thickTop="1" x14ac:dyDescent="0.25">
      <c r="A236" s="940" t="s">
        <v>378</v>
      </c>
      <c r="B236" s="941"/>
      <c r="C236" s="941"/>
      <c r="D236" s="941"/>
      <c r="E236" s="941"/>
      <c r="F236" s="941"/>
      <c r="G236" s="941"/>
      <c r="H236" s="942"/>
    </row>
    <row r="237" spans="1:8" x14ac:dyDescent="0.25">
      <c r="A237" s="943" t="s">
        <v>379</v>
      </c>
      <c r="B237" s="944"/>
      <c r="C237" s="944"/>
      <c r="D237" s="944"/>
      <c r="E237" s="944"/>
      <c r="F237" s="944"/>
      <c r="G237" s="944"/>
      <c r="H237" s="945"/>
    </row>
    <row r="238" spans="1:8" ht="15.75" thickBot="1" x14ac:dyDescent="0.3">
      <c r="A238" s="946" t="s">
        <v>261</v>
      </c>
      <c r="B238" s="947"/>
      <c r="C238" s="947"/>
      <c r="D238" s="947"/>
      <c r="E238" s="947"/>
      <c r="F238" s="947"/>
      <c r="G238" s="947"/>
      <c r="H238" s="948"/>
    </row>
    <row r="239" spans="1:8" ht="16.5" thickTop="1" thickBot="1" x14ac:dyDescent="0.3">
      <c r="A239" s="949" t="s">
        <v>30</v>
      </c>
      <c r="B239" s="950"/>
      <c r="C239" s="950"/>
      <c r="D239" s="950"/>
      <c r="E239" s="950"/>
      <c r="F239" s="950"/>
      <c r="G239" s="950"/>
      <c r="H239" s="951"/>
    </row>
    <row r="240" spans="1:8" ht="15.75" thickTop="1" x14ac:dyDescent="0.25">
      <c r="A240" s="277" t="s">
        <v>380</v>
      </c>
      <c r="B240" s="952" t="s">
        <v>427</v>
      </c>
      <c r="C240" s="952"/>
      <c r="D240" s="952"/>
      <c r="E240" s="952"/>
      <c r="F240" s="952"/>
      <c r="G240" s="278"/>
      <c r="H240" s="279"/>
    </row>
    <row r="241" spans="1:8" x14ac:dyDescent="0.25">
      <c r="A241" s="280" t="s">
        <v>382</v>
      </c>
      <c r="B241" s="281" t="s">
        <v>183</v>
      </c>
      <c r="C241" s="281" t="str">
        <f>'[2]Ppto Obra Semaforizacion'!B3</f>
        <v>PRELIMINARES</v>
      </c>
      <c r="D241" s="281"/>
      <c r="E241" s="282"/>
      <c r="F241" s="283" t="s">
        <v>383</v>
      </c>
      <c r="G241" s="284" t="s">
        <v>169</v>
      </c>
      <c r="H241" s="285"/>
    </row>
    <row r="242" spans="1:8" ht="15.75" thickBot="1" x14ac:dyDescent="0.3">
      <c r="A242" s="286" t="s">
        <v>384</v>
      </c>
      <c r="B242" s="287" t="s">
        <v>286</v>
      </c>
      <c r="C242" s="953" t="str">
        <f>'[2]Ppto Obra Semaforizacion'!B8</f>
        <v>DEMOLICION DE ESTRUCTURAS DE CONCRETO EXISTENTE</v>
      </c>
      <c r="D242" s="953"/>
      <c r="E242" s="953"/>
      <c r="F242" s="288" t="s">
        <v>385</v>
      </c>
      <c r="G242" s="287" t="s">
        <v>620</v>
      </c>
      <c r="H242" s="289"/>
    </row>
    <row r="243" spans="1:8" ht="16.5" thickTop="1" thickBot="1" x14ac:dyDescent="0.3"/>
    <row r="244" spans="1:8" ht="16.5" thickTop="1" thickBot="1" x14ac:dyDescent="0.3">
      <c r="B244" s="290" t="s">
        <v>183</v>
      </c>
      <c r="C244" s="937" t="s">
        <v>386</v>
      </c>
      <c r="D244" s="938"/>
      <c r="E244" s="938"/>
      <c r="F244" s="938"/>
      <c r="G244" s="939"/>
    </row>
    <row r="245" spans="1:8" ht="15.75" thickTop="1" x14ac:dyDescent="0.25">
      <c r="B245" s="291"/>
      <c r="C245" s="290"/>
      <c r="D245" s="290"/>
      <c r="E245" s="290" t="s">
        <v>387</v>
      </c>
      <c r="F245" s="290" t="s">
        <v>388</v>
      </c>
      <c r="G245" s="290" t="s">
        <v>122</v>
      </c>
    </row>
    <row r="246" spans="1:8" x14ac:dyDescent="0.25">
      <c r="B246" s="293"/>
      <c r="C246" s="294" t="s">
        <v>8</v>
      </c>
      <c r="D246" s="294" t="s">
        <v>389</v>
      </c>
      <c r="E246" s="294" t="s">
        <v>390</v>
      </c>
      <c r="F246" s="294" t="s">
        <v>391</v>
      </c>
      <c r="G246" s="294" t="s">
        <v>392</v>
      </c>
    </row>
    <row r="247" spans="1:8" ht="15.75" thickBot="1" x14ac:dyDescent="0.3">
      <c r="B247" s="295"/>
      <c r="C247" s="295"/>
      <c r="D247" s="296" t="s">
        <v>393</v>
      </c>
      <c r="E247" s="296" t="s">
        <v>394</v>
      </c>
      <c r="F247" s="296" t="s">
        <v>395</v>
      </c>
      <c r="G247" s="296" t="s">
        <v>396</v>
      </c>
    </row>
    <row r="248" spans="1:8" ht="15.75" thickTop="1" x14ac:dyDescent="0.25">
      <c r="B248" s="302" t="s">
        <v>185</v>
      </c>
      <c r="C248" s="387" t="s">
        <v>434</v>
      </c>
      <c r="D248" s="349">
        <v>1</v>
      </c>
      <c r="E248" s="388">
        <v>85000</v>
      </c>
      <c r="F248" s="349">
        <v>1</v>
      </c>
      <c r="G248" s="350">
        <f>D248*E248/F248</f>
        <v>85000</v>
      </c>
    </row>
    <row r="249" spans="1:8" x14ac:dyDescent="0.25">
      <c r="B249" s="305" t="s">
        <v>282</v>
      </c>
      <c r="C249" s="310" t="s">
        <v>435</v>
      </c>
      <c r="D249" s="300">
        <v>1</v>
      </c>
      <c r="E249" s="389">
        <v>110000</v>
      </c>
      <c r="F249" s="300">
        <v>1</v>
      </c>
      <c r="G249" s="301">
        <f>D249*E249/F249</f>
        <v>110000</v>
      </c>
    </row>
    <row r="250" spans="1:8" ht="15.75" thickBot="1" x14ac:dyDescent="0.3">
      <c r="B250" s="297" t="s">
        <v>436</v>
      </c>
      <c r="C250" s="298" t="s">
        <v>262</v>
      </c>
      <c r="D250" s="299">
        <v>1</v>
      </c>
      <c r="E250" s="390">
        <v>17768.88</v>
      </c>
      <c r="F250" s="300">
        <v>1</v>
      </c>
      <c r="G250" s="301">
        <f>D250*E250/F250</f>
        <v>17768.88</v>
      </c>
    </row>
    <row r="251" spans="1:8" ht="16.5" thickTop="1" thickBot="1" x14ac:dyDescent="0.3">
      <c r="F251" s="314" t="s">
        <v>398</v>
      </c>
      <c r="G251" s="315">
        <f>ROUND(SUM(G248:G250),0)</f>
        <v>212769</v>
      </c>
    </row>
    <row r="252" spans="1:8" ht="16.5" thickTop="1" thickBot="1" x14ac:dyDescent="0.3"/>
    <row r="253" spans="1:8" ht="16.5" thickTop="1" thickBot="1" x14ac:dyDescent="0.3">
      <c r="B253" s="317" t="s">
        <v>192</v>
      </c>
      <c r="C253" s="933" t="s">
        <v>399</v>
      </c>
      <c r="D253" s="933"/>
      <c r="E253" s="933"/>
      <c r="F253" s="933"/>
      <c r="G253" s="933"/>
    </row>
    <row r="254" spans="1:8" ht="15.75" thickTop="1" x14ac:dyDescent="0.25">
      <c r="B254" s="318"/>
      <c r="C254" s="290"/>
      <c r="D254" s="290"/>
      <c r="E254" s="290"/>
      <c r="F254" s="290" t="s">
        <v>122</v>
      </c>
      <c r="G254" s="290" t="s">
        <v>122</v>
      </c>
    </row>
    <row r="255" spans="1:8" x14ac:dyDescent="0.25">
      <c r="B255" s="319"/>
      <c r="C255" s="294" t="s">
        <v>8</v>
      </c>
      <c r="D255" s="294" t="s">
        <v>169</v>
      </c>
      <c r="E255" s="294" t="s">
        <v>0</v>
      </c>
      <c r="F255" s="294" t="s">
        <v>400</v>
      </c>
      <c r="G255" s="294" t="s">
        <v>392</v>
      </c>
    </row>
    <row r="256" spans="1:8" ht="15.75" thickBot="1" x14ac:dyDescent="0.3">
      <c r="B256" s="320"/>
      <c r="C256" s="295"/>
      <c r="D256" s="321"/>
      <c r="E256" s="296" t="s">
        <v>401</v>
      </c>
      <c r="F256" s="296" t="s">
        <v>402</v>
      </c>
      <c r="G256" s="296" t="s">
        <v>403</v>
      </c>
    </row>
    <row r="257" spans="2:7" ht="15.75" thickTop="1" x14ac:dyDescent="0.25">
      <c r="B257" s="381"/>
      <c r="C257" s="382"/>
      <c r="D257" s="307"/>
      <c r="E257" s="307"/>
      <c r="F257" s="308"/>
      <c r="G257" s="308"/>
    </row>
    <row r="258" spans="2:7" x14ac:dyDescent="0.25">
      <c r="B258" s="323"/>
      <c r="C258" s="383"/>
      <c r="D258" s="325"/>
      <c r="E258" s="325"/>
      <c r="F258" s="326"/>
      <c r="G258" s="326"/>
    </row>
    <row r="259" spans="2:7" x14ac:dyDescent="0.25">
      <c r="D259" s="934" t="s">
        <v>404</v>
      </c>
      <c r="E259" s="934"/>
      <c r="F259" s="335"/>
      <c r="G259" s="336"/>
    </row>
    <row r="260" spans="2:7" x14ac:dyDescent="0.25">
      <c r="D260" s="935" t="s">
        <v>405</v>
      </c>
      <c r="E260" s="935"/>
      <c r="F260" s="337"/>
      <c r="G260" s="338"/>
    </row>
    <row r="261" spans="2:7" ht="15.75" thickBot="1" x14ac:dyDescent="0.3">
      <c r="D261" s="936" t="s">
        <v>406</v>
      </c>
      <c r="E261" s="936"/>
      <c r="F261" s="339"/>
      <c r="G261" s="292"/>
    </row>
    <row r="262" spans="2:7" ht="16.5" thickTop="1" thickBot="1" x14ac:dyDescent="0.3"/>
    <row r="263" spans="2:7" ht="16.5" thickTop="1" thickBot="1" x14ac:dyDescent="0.3">
      <c r="B263" s="290" t="s">
        <v>407</v>
      </c>
      <c r="C263" s="933" t="s">
        <v>408</v>
      </c>
      <c r="D263" s="933"/>
      <c r="E263" s="933"/>
      <c r="F263" s="933"/>
      <c r="G263" s="933"/>
    </row>
    <row r="264" spans="2:7" ht="15.75" thickTop="1" x14ac:dyDescent="0.25">
      <c r="B264" s="291"/>
      <c r="C264" s="290"/>
      <c r="D264" s="290"/>
      <c r="E264" s="290" t="s">
        <v>52</v>
      </c>
      <c r="F264" s="290" t="s">
        <v>388</v>
      </c>
      <c r="G264" s="290" t="s">
        <v>122</v>
      </c>
    </row>
    <row r="265" spans="2:7" x14ac:dyDescent="0.25">
      <c r="B265" s="293"/>
      <c r="C265" s="294" t="s">
        <v>8</v>
      </c>
      <c r="D265" s="294" t="s">
        <v>389</v>
      </c>
      <c r="E265" s="294" t="s">
        <v>409</v>
      </c>
      <c r="F265" s="294" t="s">
        <v>391</v>
      </c>
      <c r="G265" s="294" t="s">
        <v>392</v>
      </c>
    </row>
    <row r="266" spans="2:7" ht="15.75" thickBot="1" x14ac:dyDescent="0.3">
      <c r="B266" s="295"/>
      <c r="C266" s="295"/>
      <c r="D266" s="296" t="s">
        <v>410</v>
      </c>
      <c r="E266" s="296" t="s">
        <v>411</v>
      </c>
      <c r="F266" s="296" t="s">
        <v>412</v>
      </c>
      <c r="G266" s="296" t="s">
        <v>413</v>
      </c>
    </row>
    <row r="267" spans="2:7" ht="15.75" thickTop="1" x14ac:dyDescent="0.25">
      <c r="B267" s="340" t="s">
        <v>296</v>
      </c>
      <c r="C267" s="367" t="s">
        <v>414</v>
      </c>
      <c r="D267" s="368">
        <v>3</v>
      </c>
      <c r="E267" s="369">
        <v>48802</v>
      </c>
      <c r="F267" s="370">
        <v>1</v>
      </c>
      <c r="G267" s="326">
        <f>D267*E267/F267</f>
        <v>146406</v>
      </c>
    </row>
    <row r="268" spans="2:7" ht="15.75" thickBot="1" x14ac:dyDescent="0.3">
      <c r="B268" s="343" t="s">
        <v>298</v>
      </c>
      <c r="C268" s="371" t="s">
        <v>415</v>
      </c>
      <c r="D268" s="372">
        <v>1</v>
      </c>
      <c r="E268" s="373">
        <v>96924</v>
      </c>
      <c r="F268" s="374">
        <v>1</v>
      </c>
      <c r="G268" s="326">
        <f>D268*E268/F268</f>
        <v>96924</v>
      </c>
    </row>
    <row r="269" spans="2:7" ht="16.5" thickTop="1" thickBot="1" x14ac:dyDescent="0.3">
      <c r="F269" s="314" t="s">
        <v>398</v>
      </c>
      <c r="G269" s="315">
        <f>SUM(G267:G268)</f>
        <v>243330</v>
      </c>
    </row>
    <row r="270" spans="2:7" ht="16.5" thickTop="1" thickBot="1" x14ac:dyDescent="0.3"/>
    <row r="271" spans="2:7" ht="16.5" thickTop="1" thickBot="1" x14ac:dyDescent="0.3">
      <c r="B271" s="290" t="s">
        <v>303</v>
      </c>
      <c r="C271" s="933" t="s">
        <v>416</v>
      </c>
      <c r="D271" s="933"/>
      <c r="E271" s="933"/>
      <c r="F271" s="933"/>
      <c r="G271" s="933"/>
    </row>
    <row r="272" spans="2:7" ht="15.75" thickTop="1" x14ac:dyDescent="0.25">
      <c r="B272" s="291"/>
      <c r="C272" s="290"/>
      <c r="D272" s="290"/>
      <c r="E272" s="290"/>
      <c r="F272" s="290"/>
      <c r="G272" s="290" t="s">
        <v>122</v>
      </c>
    </row>
    <row r="273" spans="2:7" x14ac:dyDescent="0.25">
      <c r="B273" s="293"/>
      <c r="C273" s="294" t="s">
        <v>8</v>
      </c>
      <c r="D273" s="294" t="s">
        <v>389</v>
      </c>
      <c r="E273" s="294" t="s">
        <v>182</v>
      </c>
      <c r="F273" s="294" t="s">
        <v>388</v>
      </c>
      <c r="G273" s="294" t="s">
        <v>392</v>
      </c>
    </row>
    <row r="274" spans="2:7" ht="15.75" thickBot="1" x14ac:dyDescent="0.3">
      <c r="B274" s="295"/>
      <c r="C274" s="295"/>
      <c r="D274" s="296" t="s">
        <v>417</v>
      </c>
      <c r="E274" s="296" t="s">
        <v>418</v>
      </c>
      <c r="F274" s="296" t="s">
        <v>419</v>
      </c>
      <c r="G274" s="296" t="s">
        <v>420</v>
      </c>
    </row>
    <row r="275" spans="2:7" ht="15.75" thickTop="1" x14ac:dyDescent="0.25">
      <c r="B275" s="347" t="s">
        <v>306</v>
      </c>
      <c r="C275" s="348" t="s">
        <v>437</v>
      </c>
      <c r="D275" s="349">
        <v>4</v>
      </c>
      <c r="E275" s="350">
        <v>120000</v>
      </c>
      <c r="F275" s="349">
        <v>1</v>
      </c>
      <c r="G275" s="350">
        <f>(D275*E275)/F275</f>
        <v>480000</v>
      </c>
    </row>
    <row r="276" spans="2:7" ht="15.75" thickBot="1" x14ac:dyDescent="0.3">
      <c r="B276" s="331"/>
      <c r="C276" s="351"/>
      <c r="D276" s="299"/>
      <c r="E276" s="299"/>
      <c r="F276" s="299"/>
      <c r="G276" s="292"/>
    </row>
    <row r="277" spans="2:7" ht="16.5" thickTop="1" thickBot="1" x14ac:dyDescent="0.3">
      <c r="F277" s="314" t="s">
        <v>398</v>
      </c>
      <c r="G277" s="315">
        <f>SUM(G275:G276)</f>
        <v>480000</v>
      </c>
    </row>
    <row r="278" spans="2:7" ht="16.5" thickTop="1" thickBot="1" x14ac:dyDescent="0.3">
      <c r="G278" s="269"/>
    </row>
    <row r="279" spans="2:7" ht="16.5" thickTop="1" thickBot="1" x14ac:dyDescent="0.3">
      <c r="B279" s="928" t="s">
        <v>422</v>
      </c>
      <c r="C279" s="929"/>
      <c r="D279" s="929"/>
      <c r="E279" s="929"/>
      <c r="F279" s="352"/>
      <c r="G279" s="353">
        <f>G251+G261+G269+G277</f>
        <v>936099</v>
      </c>
    </row>
    <row r="280" spans="2:7" ht="16.5" thickTop="1" thickBot="1" x14ac:dyDescent="0.3">
      <c r="B280" s="930" t="s">
        <v>423</v>
      </c>
      <c r="C280" s="931"/>
      <c r="D280" s="931"/>
      <c r="E280" s="931"/>
      <c r="F280" s="354">
        <v>0</v>
      </c>
      <c r="G280" s="355"/>
    </row>
    <row r="281" spans="2:7" ht="16.5" thickTop="1" thickBot="1" x14ac:dyDescent="0.3">
      <c r="B281" s="356" t="s">
        <v>424</v>
      </c>
      <c r="C281" s="357"/>
      <c r="D281" s="357"/>
      <c r="E281" s="357"/>
      <c r="F281" s="358"/>
      <c r="G281" s="359">
        <f>G279</f>
        <v>936099</v>
      </c>
    </row>
    <row r="282" spans="2:7" ht="15.75" thickTop="1" x14ac:dyDescent="0.25">
      <c r="B282" s="376"/>
      <c r="C282" s="376"/>
      <c r="D282" s="376"/>
      <c r="E282" s="376"/>
      <c r="F282" s="377"/>
      <c r="G282" s="378"/>
    </row>
    <row r="283" spans="2:7" x14ac:dyDescent="0.25">
      <c r="B283" s="376"/>
      <c r="C283" s="362" t="s">
        <v>425</v>
      </c>
      <c r="G283" s="378"/>
    </row>
    <row r="284" spans="2:7" ht="15" customHeight="1" x14ac:dyDescent="0.25">
      <c r="B284" s="376"/>
      <c r="C284" s="932" t="s">
        <v>621</v>
      </c>
      <c r="D284" s="932"/>
      <c r="E284" s="932"/>
      <c r="F284" s="932"/>
      <c r="G284" s="378"/>
    </row>
  </sheetData>
  <mergeCells count="81">
    <mergeCell ref="C34:G34"/>
    <mergeCell ref="A2:H2"/>
    <mergeCell ref="A3:H3"/>
    <mergeCell ref="A4:H4"/>
    <mergeCell ref="A5:H5"/>
    <mergeCell ref="B6:F6"/>
    <mergeCell ref="C8:E8"/>
    <mergeCell ref="C10:G10"/>
    <mergeCell ref="C22:G22"/>
    <mergeCell ref="D30:E30"/>
    <mergeCell ref="D31:E31"/>
    <mergeCell ref="D32:E32"/>
    <mergeCell ref="C67:G67"/>
    <mergeCell ref="C43:G43"/>
    <mergeCell ref="B51:E51"/>
    <mergeCell ref="B52:E52"/>
    <mergeCell ref="C57:F57"/>
    <mergeCell ref="A59:H59"/>
    <mergeCell ref="A60:H60"/>
    <mergeCell ref="A61:H61"/>
    <mergeCell ref="A62:H62"/>
    <mergeCell ref="B63:F63"/>
    <mergeCell ref="C64:E64"/>
    <mergeCell ref="C65:E65"/>
    <mergeCell ref="A120:H120"/>
    <mergeCell ref="C79:G79"/>
    <mergeCell ref="D87:E87"/>
    <mergeCell ref="D88:E88"/>
    <mergeCell ref="D89:E89"/>
    <mergeCell ref="C91:G91"/>
    <mergeCell ref="C99:G99"/>
    <mergeCell ref="B107:E107"/>
    <mergeCell ref="B108:E108"/>
    <mergeCell ref="C112:F112"/>
    <mergeCell ref="A118:H118"/>
    <mergeCell ref="A119:H119"/>
    <mergeCell ref="B164:E164"/>
    <mergeCell ref="A121:H121"/>
    <mergeCell ref="B122:F122"/>
    <mergeCell ref="C124:E124"/>
    <mergeCell ref="C126:G126"/>
    <mergeCell ref="C135:G135"/>
    <mergeCell ref="D142:E142"/>
    <mergeCell ref="D143:E143"/>
    <mergeCell ref="D144:E144"/>
    <mergeCell ref="C146:G146"/>
    <mergeCell ref="C155:G155"/>
    <mergeCell ref="B163:E163"/>
    <mergeCell ref="D203:E203"/>
    <mergeCell ref="C168:F168"/>
    <mergeCell ref="A178:H178"/>
    <mergeCell ref="A179:H179"/>
    <mergeCell ref="A180:H180"/>
    <mergeCell ref="A181:H181"/>
    <mergeCell ref="B182:F182"/>
    <mergeCell ref="C184:E184"/>
    <mergeCell ref="C186:G186"/>
    <mergeCell ref="C195:G195"/>
    <mergeCell ref="D201:E201"/>
    <mergeCell ref="D202:E202"/>
    <mergeCell ref="C244:G244"/>
    <mergeCell ref="C205:G205"/>
    <mergeCell ref="C213:G213"/>
    <mergeCell ref="B221:E221"/>
    <mergeCell ref="B222:E222"/>
    <mergeCell ref="C226:F226"/>
    <mergeCell ref="A236:H236"/>
    <mergeCell ref="A237:H237"/>
    <mergeCell ref="A238:H238"/>
    <mergeCell ref="A239:H239"/>
    <mergeCell ref="B240:F240"/>
    <mergeCell ref="C242:E242"/>
    <mergeCell ref="B279:E279"/>
    <mergeCell ref="B280:E280"/>
    <mergeCell ref="C284:F284"/>
    <mergeCell ref="C253:G253"/>
    <mergeCell ref="D259:E259"/>
    <mergeCell ref="D260:E260"/>
    <mergeCell ref="D261:E261"/>
    <mergeCell ref="C263:G263"/>
    <mergeCell ref="C271:G271"/>
  </mergeCells>
  <pageMargins left="0.7" right="0.7" top="0.75" bottom="0.75" header="0.3" footer="0.3"/>
  <pageSetup scale="7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158"/>
  <sheetViews>
    <sheetView topLeftCell="A163" workbookViewId="0">
      <selection activeCell="C158" sqref="C158:F158"/>
    </sheetView>
  </sheetViews>
  <sheetFormatPr baseColWidth="10" defaultRowHeight="15" x14ac:dyDescent="0.25"/>
  <cols>
    <col min="1" max="2" width="11.42578125" style="5"/>
    <col min="3" max="3" width="23.42578125" style="5" customWidth="1"/>
    <col min="4" max="6" width="11.42578125" style="5"/>
    <col min="7" max="7" width="12.7109375" style="5" customWidth="1"/>
    <col min="8" max="8" width="11.42578125" style="5"/>
    <col min="9" max="9" width="15.7109375" style="5" customWidth="1"/>
    <col min="10" max="10" width="19.7109375" style="5" customWidth="1"/>
    <col min="11" max="16384" width="11.42578125" style="5"/>
  </cols>
  <sheetData>
    <row r="1" spans="1:10" ht="15.75" thickTop="1" x14ac:dyDescent="0.25">
      <c r="A1" s="940" t="s">
        <v>378</v>
      </c>
      <c r="B1" s="941"/>
      <c r="C1" s="941"/>
      <c r="D1" s="941"/>
      <c r="E1" s="941"/>
      <c r="F1" s="941"/>
      <c r="G1" s="941"/>
      <c r="H1" s="942"/>
    </row>
    <row r="2" spans="1:10" x14ac:dyDescent="0.25">
      <c r="A2" s="943" t="s">
        <v>379</v>
      </c>
      <c r="B2" s="944"/>
      <c r="C2" s="944"/>
      <c r="D2" s="944"/>
      <c r="E2" s="944"/>
      <c r="F2" s="944"/>
      <c r="G2" s="944"/>
      <c r="H2" s="945"/>
    </row>
    <row r="3" spans="1:10" ht="15.75" thickBot="1" x14ac:dyDescent="0.3">
      <c r="A3" s="946" t="s">
        <v>261</v>
      </c>
      <c r="B3" s="947"/>
      <c r="C3" s="947"/>
      <c r="D3" s="947"/>
      <c r="E3" s="947"/>
      <c r="F3" s="947"/>
      <c r="G3" s="947"/>
      <c r="H3" s="948"/>
    </row>
    <row r="4" spans="1:10" ht="16.5" thickTop="1" thickBot="1" x14ac:dyDescent="0.3">
      <c r="A4" s="949" t="s">
        <v>30</v>
      </c>
      <c r="B4" s="950"/>
      <c r="C4" s="950"/>
      <c r="D4" s="950"/>
      <c r="E4" s="950"/>
      <c r="F4" s="950"/>
      <c r="G4" s="950"/>
      <c r="H4" s="951"/>
    </row>
    <row r="5" spans="1:10" ht="15.75" thickTop="1" x14ac:dyDescent="0.25">
      <c r="A5" s="277" t="s">
        <v>380</v>
      </c>
      <c r="B5" s="952" t="s">
        <v>438</v>
      </c>
      <c r="C5" s="952"/>
      <c r="D5" s="952"/>
      <c r="E5" s="952"/>
      <c r="F5" s="952"/>
      <c r="G5" s="278"/>
      <c r="H5" s="279"/>
    </row>
    <row r="6" spans="1:10" x14ac:dyDescent="0.25">
      <c r="A6" s="280" t="s">
        <v>382</v>
      </c>
      <c r="B6" s="281" t="s">
        <v>192</v>
      </c>
      <c r="C6" s="281" t="s">
        <v>288</v>
      </c>
      <c r="D6" s="281">
        <v>1</v>
      </c>
      <c r="E6" s="282"/>
      <c r="F6" s="283" t="s">
        <v>383</v>
      </c>
      <c r="G6" s="284" t="s">
        <v>169</v>
      </c>
      <c r="H6" s="285"/>
    </row>
    <row r="7" spans="1:10" ht="50.1" customHeight="1" thickBot="1" x14ac:dyDescent="0.3">
      <c r="A7" s="286" t="s">
        <v>384</v>
      </c>
      <c r="B7" s="287" t="s">
        <v>289</v>
      </c>
      <c r="C7" s="956" t="s">
        <v>611</v>
      </c>
      <c r="D7" s="956"/>
      <c r="E7" s="956"/>
      <c r="F7" s="288" t="s">
        <v>385</v>
      </c>
      <c r="G7" s="287" t="s">
        <v>620</v>
      </c>
      <c r="H7" s="289"/>
    </row>
    <row r="8" spans="1:10" ht="16.5" thickTop="1" thickBot="1" x14ac:dyDescent="0.3">
      <c r="B8" s="290" t="s">
        <v>183</v>
      </c>
      <c r="C8" s="937" t="s">
        <v>386</v>
      </c>
      <c r="D8" s="938"/>
      <c r="E8" s="938"/>
      <c r="F8" s="938"/>
      <c r="G8" s="939"/>
    </row>
    <row r="9" spans="1:10" ht="15.75" thickTop="1" x14ac:dyDescent="0.25">
      <c r="B9" s="291"/>
      <c r="C9" s="290"/>
      <c r="D9" s="290"/>
      <c r="E9" s="290" t="s">
        <v>387</v>
      </c>
      <c r="F9" s="290" t="s">
        <v>388</v>
      </c>
      <c r="G9" s="290" t="s">
        <v>122</v>
      </c>
    </row>
    <row r="10" spans="1:10" x14ac:dyDescent="0.25">
      <c r="B10" s="293"/>
      <c r="C10" s="294" t="s">
        <v>8</v>
      </c>
      <c r="D10" s="294">
        <v>1</v>
      </c>
      <c r="E10" s="294" t="s">
        <v>390</v>
      </c>
      <c r="F10" s="294" t="s">
        <v>391</v>
      </c>
      <c r="G10" s="294" t="s">
        <v>392</v>
      </c>
    </row>
    <row r="11" spans="1:10" ht="15.75" thickBot="1" x14ac:dyDescent="0.3">
      <c r="B11" s="295"/>
      <c r="C11" s="295"/>
      <c r="D11" s="296">
        <v>1</v>
      </c>
      <c r="E11" s="296" t="s">
        <v>394</v>
      </c>
      <c r="F11" s="296" t="s">
        <v>395</v>
      </c>
      <c r="G11" s="296" t="s">
        <v>396</v>
      </c>
    </row>
    <row r="12" spans="1:10" ht="16.5" thickTop="1" thickBot="1" x14ac:dyDescent="0.3">
      <c r="B12" s="302">
        <v>1.1000000000000001</v>
      </c>
      <c r="C12" s="957" t="s">
        <v>439</v>
      </c>
      <c r="D12" s="349">
        <v>1</v>
      </c>
      <c r="E12" s="391">
        <v>73215550</v>
      </c>
      <c r="F12" s="349">
        <v>1</v>
      </c>
      <c r="G12" s="308">
        <f>E12*F12</f>
        <v>73215550</v>
      </c>
    </row>
    <row r="13" spans="1:10" ht="16.5" thickTop="1" thickBot="1" x14ac:dyDescent="0.3">
      <c r="B13" s="302"/>
      <c r="C13" s="958"/>
      <c r="D13" s="300"/>
      <c r="E13" s="304"/>
      <c r="F13" s="300"/>
      <c r="G13" s="350"/>
    </row>
    <row r="14" spans="1:10" ht="15.75" thickTop="1" x14ac:dyDescent="0.25">
      <c r="B14" s="305" t="s">
        <v>280</v>
      </c>
      <c r="C14" s="306" t="s">
        <v>440</v>
      </c>
      <c r="D14" s="307">
        <v>2</v>
      </c>
      <c r="E14" s="308">
        <v>5985666</v>
      </c>
      <c r="F14" s="309">
        <v>1</v>
      </c>
      <c r="G14" s="308">
        <f>E14*F14</f>
        <v>5985666</v>
      </c>
    </row>
    <row r="15" spans="1:10" x14ac:dyDescent="0.25">
      <c r="B15" s="305"/>
      <c r="C15" s="310"/>
      <c r="D15" s="300">
        <v>3</v>
      </c>
      <c r="E15" s="301"/>
      <c r="F15" s="300"/>
      <c r="G15" s="301"/>
    </row>
    <row r="16" spans="1:10" x14ac:dyDescent="0.25">
      <c r="B16" s="305"/>
      <c r="C16" s="311"/>
      <c r="D16" s="300">
        <v>4</v>
      </c>
      <c r="E16" s="312"/>
      <c r="F16" s="300"/>
      <c r="G16" s="301"/>
      <c r="J16" s="313"/>
    </row>
    <row r="17" spans="2:10" ht="15.75" thickBot="1" x14ac:dyDescent="0.3">
      <c r="B17" s="305"/>
      <c r="C17" s="298"/>
      <c r="D17" s="299"/>
      <c r="E17" s="292"/>
      <c r="F17" s="300"/>
      <c r="G17" s="301"/>
    </row>
    <row r="18" spans="2:10" ht="16.5" thickTop="1" thickBot="1" x14ac:dyDescent="0.3">
      <c r="D18" s="5">
        <v>2</v>
      </c>
      <c r="F18" s="314" t="s">
        <v>398</v>
      </c>
      <c r="G18" s="315">
        <f>SUM(G12:G17)</f>
        <v>79201216</v>
      </c>
    </row>
    <row r="19" spans="2:10" ht="16.5" thickTop="1" thickBot="1" x14ac:dyDescent="0.3">
      <c r="B19" s="317" t="s">
        <v>192</v>
      </c>
      <c r="C19" s="933" t="s">
        <v>399</v>
      </c>
      <c r="D19" s="933"/>
      <c r="E19" s="933"/>
      <c r="F19" s="933"/>
      <c r="G19" s="933"/>
    </row>
    <row r="20" spans="2:10" ht="15.75" thickTop="1" x14ac:dyDescent="0.25">
      <c r="B20" s="318"/>
      <c r="C20" s="290"/>
      <c r="D20" s="290">
        <v>105</v>
      </c>
      <c r="E20" s="290"/>
      <c r="F20" s="290" t="s">
        <v>122</v>
      </c>
      <c r="G20" s="290" t="s">
        <v>122</v>
      </c>
      <c r="J20" s="313"/>
    </row>
    <row r="21" spans="2:10" x14ac:dyDescent="0.25">
      <c r="B21" s="319"/>
      <c r="C21" s="294" t="s">
        <v>8</v>
      </c>
      <c r="D21" s="294">
        <v>125</v>
      </c>
      <c r="E21" s="294" t="s">
        <v>0</v>
      </c>
      <c r="F21" s="294" t="s">
        <v>400</v>
      </c>
      <c r="G21" s="294" t="s">
        <v>392</v>
      </c>
    </row>
    <row r="22" spans="2:10" ht="15.75" thickBot="1" x14ac:dyDescent="0.3">
      <c r="B22" s="320"/>
      <c r="C22" s="295"/>
      <c r="D22" s="321">
        <v>65</v>
      </c>
      <c r="E22" s="296" t="s">
        <v>401</v>
      </c>
      <c r="F22" s="296" t="s">
        <v>402</v>
      </c>
      <c r="G22" s="296" t="s">
        <v>403</v>
      </c>
    </row>
    <row r="23" spans="2:10" ht="15.75" thickTop="1" x14ac:dyDescent="0.25">
      <c r="B23" s="322"/>
      <c r="C23" s="306"/>
      <c r="D23" s="307">
        <v>1</v>
      </c>
      <c r="E23" s="307"/>
      <c r="F23" s="308"/>
      <c r="G23" s="308"/>
    </row>
    <row r="24" spans="2:10" x14ac:dyDescent="0.25">
      <c r="B24" s="323"/>
      <c r="C24" s="324"/>
      <c r="D24" s="325">
        <v>1</v>
      </c>
      <c r="E24" s="325"/>
      <c r="F24" s="326"/>
      <c r="G24" s="326"/>
    </row>
    <row r="25" spans="2:10" x14ac:dyDescent="0.25">
      <c r="B25" s="327"/>
      <c r="C25" s="328"/>
      <c r="D25" s="325"/>
      <c r="E25" s="329"/>
      <c r="F25" s="330"/>
      <c r="G25" s="326"/>
    </row>
    <row r="26" spans="2:10" ht="15.75" thickBot="1" x14ac:dyDescent="0.3">
      <c r="B26" s="331"/>
      <c r="C26" s="332"/>
      <c r="D26" s="299">
        <v>30</v>
      </c>
      <c r="E26" s="333"/>
      <c r="F26" s="334"/>
      <c r="G26" s="292"/>
    </row>
    <row r="27" spans="2:10" ht="15.75" thickTop="1" x14ac:dyDescent="0.25">
      <c r="D27" s="934">
        <v>20</v>
      </c>
      <c r="E27" s="934"/>
      <c r="F27" s="335"/>
      <c r="G27" s="336"/>
    </row>
    <row r="28" spans="2:10" x14ac:dyDescent="0.25">
      <c r="D28" s="935">
        <v>10</v>
      </c>
      <c r="E28" s="935"/>
      <c r="F28" s="337"/>
      <c r="G28" s="338"/>
    </row>
    <row r="29" spans="2:10" ht="15.75" thickBot="1" x14ac:dyDescent="0.3">
      <c r="D29" s="936">
        <v>5</v>
      </c>
      <c r="E29" s="936"/>
      <c r="F29" s="339"/>
      <c r="G29" s="292">
        <f>SUM(G23:G26)</f>
        <v>0</v>
      </c>
    </row>
    <row r="30" spans="2:10" ht="16.5" thickTop="1" thickBot="1" x14ac:dyDescent="0.3">
      <c r="B30" s="290" t="s">
        <v>407</v>
      </c>
      <c r="C30" s="933" t="s">
        <v>408</v>
      </c>
      <c r="D30" s="933"/>
      <c r="E30" s="933"/>
      <c r="F30" s="933"/>
      <c r="G30" s="933"/>
    </row>
    <row r="31" spans="2:10" ht="15.75" thickTop="1" x14ac:dyDescent="0.25">
      <c r="B31" s="291"/>
      <c r="C31" s="290"/>
      <c r="D31" s="290">
        <v>1</v>
      </c>
      <c r="E31" s="290" t="s">
        <v>52</v>
      </c>
      <c r="F31" s="290" t="s">
        <v>388</v>
      </c>
      <c r="G31" s="290" t="s">
        <v>122</v>
      </c>
    </row>
    <row r="32" spans="2:10" x14ac:dyDescent="0.25">
      <c r="B32" s="293"/>
      <c r="C32" s="294" t="s">
        <v>8</v>
      </c>
      <c r="D32" s="294">
        <v>2</v>
      </c>
      <c r="E32" s="294" t="s">
        <v>409</v>
      </c>
      <c r="F32" s="294" t="s">
        <v>391</v>
      </c>
      <c r="G32" s="294" t="s">
        <v>392</v>
      </c>
    </row>
    <row r="33" spans="2:9" ht="15.75" thickBot="1" x14ac:dyDescent="0.3">
      <c r="B33" s="295"/>
      <c r="C33" s="295"/>
      <c r="D33" s="296">
        <v>1</v>
      </c>
      <c r="E33" s="296" t="s">
        <v>411</v>
      </c>
      <c r="F33" s="296" t="s">
        <v>412</v>
      </c>
      <c r="G33" s="296" t="s">
        <v>413</v>
      </c>
    </row>
    <row r="34" spans="2:9" ht="15.75" thickTop="1" x14ac:dyDescent="0.25">
      <c r="B34" s="392" t="s">
        <v>296</v>
      </c>
      <c r="C34" s="393" t="s">
        <v>441</v>
      </c>
      <c r="D34" s="394">
        <v>1</v>
      </c>
      <c r="E34" s="312">
        <v>180411</v>
      </c>
      <c r="F34" s="395">
        <v>1</v>
      </c>
      <c r="G34" s="312">
        <f>D34*E34/F34</f>
        <v>180411</v>
      </c>
    </row>
    <row r="35" spans="2:9" x14ac:dyDescent="0.25">
      <c r="B35" s="345" t="s">
        <v>298</v>
      </c>
      <c r="C35" s="346" t="s">
        <v>442</v>
      </c>
      <c r="D35" s="342">
        <v>97</v>
      </c>
      <c r="E35" s="326">
        <v>136523</v>
      </c>
      <c r="F35" s="325">
        <v>1</v>
      </c>
      <c r="G35" s="326">
        <f>D35*E35/F35</f>
        <v>13242731</v>
      </c>
    </row>
    <row r="36" spans="2:9" ht="15.75" thickBot="1" x14ac:dyDescent="0.3">
      <c r="B36" s="345" t="s">
        <v>300</v>
      </c>
      <c r="C36" s="346" t="s">
        <v>430</v>
      </c>
      <c r="D36" s="342">
        <v>2</v>
      </c>
      <c r="E36" s="326">
        <v>104043</v>
      </c>
      <c r="F36" s="325">
        <v>1</v>
      </c>
      <c r="G36" s="326">
        <f>D36*E36/F36</f>
        <v>208086</v>
      </c>
    </row>
    <row r="37" spans="2:9" ht="16.5" thickTop="1" thickBot="1" x14ac:dyDescent="0.3">
      <c r="D37" s="5">
        <v>50</v>
      </c>
      <c r="F37" s="314" t="s">
        <v>398</v>
      </c>
      <c r="G37" s="315">
        <f>SUM(G34:G36)</f>
        <v>13631228</v>
      </c>
      <c r="H37" s="313"/>
    </row>
    <row r="38" spans="2:9" ht="16.5" thickTop="1" thickBot="1" x14ac:dyDescent="0.3">
      <c r="B38" s="290" t="s">
        <v>303</v>
      </c>
      <c r="C38" s="933" t="s">
        <v>416</v>
      </c>
      <c r="D38" s="933"/>
      <c r="E38" s="933"/>
      <c r="F38" s="933"/>
      <c r="G38" s="933"/>
    </row>
    <row r="39" spans="2:9" ht="15.75" thickTop="1" x14ac:dyDescent="0.25">
      <c r="B39" s="291"/>
      <c r="C39" s="290"/>
      <c r="D39" s="290"/>
      <c r="E39" s="290"/>
      <c r="F39" s="290"/>
      <c r="G39" s="290" t="s">
        <v>122</v>
      </c>
    </row>
    <row r="40" spans="2:9" x14ac:dyDescent="0.25">
      <c r="B40" s="293"/>
      <c r="C40" s="294" t="s">
        <v>8</v>
      </c>
      <c r="D40" s="294" t="s">
        <v>389</v>
      </c>
      <c r="E40" s="294" t="s">
        <v>182</v>
      </c>
      <c r="F40" s="294" t="s">
        <v>388</v>
      </c>
      <c r="G40" s="294" t="s">
        <v>392</v>
      </c>
    </row>
    <row r="41" spans="2:9" ht="15.75" thickBot="1" x14ac:dyDescent="0.3">
      <c r="B41" s="295"/>
      <c r="C41" s="295"/>
      <c r="D41" s="296" t="s">
        <v>417</v>
      </c>
      <c r="E41" s="296" t="s">
        <v>418</v>
      </c>
      <c r="F41" s="296" t="s">
        <v>419</v>
      </c>
      <c r="G41" s="296" t="s">
        <v>420</v>
      </c>
    </row>
    <row r="42" spans="2:9" ht="15.75" thickTop="1" x14ac:dyDescent="0.25">
      <c r="B42" s="347"/>
      <c r="C42" s="348"/>
      <c r="D42" s="349"/>
      <c r="E42" s="350"/>
      <c r="F42" s="349"/>
      <c r="G42" s="350"/>
    </row>
    <row r="43" spans="2:9" ht="15.75" thickBot="1" x14ac:dyDescent="0.3">
      <c r="B43" s="331"/>
      <c r="C43" s="351"/>
      <c r="D43" s="299"/>
      <c r="E43" s="299"/>
      <c r="F43" s="299"/>
      <c r="G43" s="292"/>
    </row>
    <row r="44" spans="2:9" ht="16.5" thickTop="1" thickBot="1" x14ac:dyDescent="0.3">
      <c r="F44" s="314" t="s">
        <v>398</v>
      </c>
      <c r="G44" s="315">
        <f>SUM(G42:G43)</f>
        <v>0</v>
      </c>
      <c r="I44" s="313"/>
    </row>
    <row r="45" spans="2:9" ht="16.5" thickTop="1" thickBot="1" x14ac:dyDescent="0.3">
      <c r="B45" s="928" t="s">
        <v>422</v>
      </c>
      <c r="C45" s="929"/>
      <c r="D45" s="929"/>
      <c r="E45" s="929"/>
      <c r="F45" s="352"/>
      <c r="G45" s="353">
        <f>G18+G29+G37+G44</f>
        <v>92832444</v>
      </c>
    </row>
    <row r="46" spans="2:9" ht="16.5" thickTop="1" thickBot="1" x14ac:dyDescent="0.3">
      <c r="B46" s="930" t="s">
        <v>423</v>
      </c>
      <c r="C46" s="931"/>
      <c r="D46" s="931"/>
      <c r="E46" s="931"/>
      <c r="F46" s="354">
        <v>0</v>
      </c>
      <c r="G46" s="355"/>
    </row>
    <row r="47" spans="2:9" ht="16.5" thickTop="1" thickBot="1" x14ac:dyDescent="0.3">
      <c r="B47" s="356" t="s">
        <v>424</v>
      </c>
      <c r="C47" s="357"/>
      <c r="D47" s="357"/>
      <c r="E47" s="357"/>
      <c r="F47" s="358"/>
      <c r="G47" s="359">
        <f>G45</f>
        <v>92832444</v>
      </c>
      <c r="I47" s="360"/>
    </row>
    <row r="48" spans="2:9" ht="15.75" thickTop="1" x14ac:dyDescent="0.25">
      <c r="G48" s="361"/>
      <c r="I48" s="313"/>
    </row>
    <row r="49" spans="1:8" x14ac:dyDescent="0.25">
      <c r="G49" s="361"/>
    </row>
    <row r="50" spans="1:8" x14ac:dyDescent="0.25">
      <c r="C50" s="362" t="s">
        <v>425</v>
      </c>
      <c r="G50" s="361"/>
    </row>
    <row r="51" spans="1:8" ht="15" customHeight="1" x14ac:dyDescent="0.25">
      <c r="C51" s="932" t="s">
        <v>621</v>
      </c>
      <c r="D51" s="932"/>
      <c r="E51" s="932"/>
      <c r="F51" s="932"/>
      <c r="G51" s="361"/>
    </row>
    <row r="52" spans="1:8" x14ac:dyDescent="0.25">
      <c r="C52" s="379"/>
      <c r="D52" s="379"/>
      <c r="E52" s="379"/>
      <c r="F52" s="379"/>
      <c r="G52" s="361"/>
    </row>
    <row r="53" spans="1:8" x14ac:dyDescent="0.25">
      <c r="C53" s="379"/>
      <c r="D53" s="379"/>
      <c r="E53" s="379"/>
      <c r="F53" s="379"/>
      <c r="G53" s="361"/>
    </row>
    <row r="54" spans="1:8" ht="15.75" thickBot="1" x14ac:dyDescent="0.3"/>
    <row r="55" spans="1:8" ht="15.75" thickTop="1" x14ac:dyDescent="0.25">
      <c r="A55" s="940" t="s">
        <v>378</v>
      </c>
      <c r="B55" s="941"/>
      <c r="C55" s="941"/>
      <c r="D55" s="941"/>
      <c r="E55" s="941"/>
      <c r="F55" s="941"/>
      <c r="G55" s="941"/>
      <c r="H55" s="942"/>
    </row>
    <row r="56" spans="1:8" x14ac:dyDescent="0.25">
      <c r="A56" s="943" t="s">
        <v>379</v>
      </c>
      <c r="B56" s="944"/>
      <c r="C56" s="944"/>
      <c r="D56" s="944"/>
      <c r="E56" s="944"/>
      <c r="F56" s="944"/>
      <c r="G56" s="944"/>
      <c r="H56" s="945"/>
    </row>
    <row r="57" spans="1:8" ht="15.75" thickBot="1" x14ac:dyDescent="0.3">
      <c r="A57" s="946" t="s">
        <v>261</v>
      </c>
      <c r="B57" s="947"/>
      <c r="C57" s="947"/>
      <c r="D57" s="947"/>
      <c r="E57" s="947"/>
      <c r="F57" s="947"/>
      <c r="G57" s="947"/>
      <c r="H57" s="948"/>
    </row>
    <row r="58" spans="1:8" ht="16.5" thickTop="1" thickBot="1" x14ac:dyDescent="0.3">
      <c r="A58" s="949" t="s">
        <v>30</v>
      </c>
      <c r="B58" s="950"/>
      <c r="C58" s="950"/>
      <c r="D58" s="950"/>
      <c r="E58" s="950"/>
      <c r="F58" s="950"/>
      <c r="G58" s="950"/>
      <c r="H58" s="951"/>
    </row>
    <row r="59" spans="1:8" ht="15.75" thickTop="1" x14ac:dyDescent="0.25">
      <c r="A59" s="277" t="s">
        <v>380</v>
      </c>
      <c r="B59" s="952" t="str">
        <f>B5</f>
        <v>REPOSICION DE SEMAFORIZACION INTERSECCIONES VIALES</v>
      </c>
      <c r="C59" s="952"/>
      <c r="D59" s="952"/>
      <c r="E59" s="952"/>
      <c r="F59" s="952"/>
      <c r="G59" s="278"/>
      <c r="H59" s="279"/>
    </row>
    <row r="60" spans="1:8" x14ac:dyDescent="0.25">
      <c r="A60" s="280" t="s">
        <v>382</v>
      </c>
      <c r="B60" s="281" t="s">
        <v>192</v>
      </c>
      <c r="C60" s="954" t="s">
        <v>288</v>
      </c>
      <c r="D60" s="954"/>
      <c r="E60" s="954"/>
      <c r="F60" s="283" t="s">
        <v>383</v>
      </c>
      <c r="G60" s="284" t="s">
        <v>169</v>
      </c>
      <c r="H60" s="285"/>
    </row>
    <row r="61" spans="1:8" ht="15.75" thickBot="1" x14ac:dyDescent="0.3">
      <c r="A61" s="286" t="s">
        <v>384</v>
      </c>
      <c r="B61" s="287" t="s">
        <v>291</v>
      </c>
      <c r="C61" s="955" t="s">
        <v>292</v>
      </c>
      <c r="D61" s="955"/>
      <c r="E61" s="955"/>
      <c r="F61" s="288" t="s">
        <v>385</v>
      </c>
      <c r="G61" s="287" t="s">
        <v>620</v>
      </c>
      <c r="H61" s="289"/>
    </row>
    <row r="62" spans="1:8" ht="16.5" thickTop="1" thickBot="1" x14ac:dyDescent="0.3"/>
    <row r="63" spans="1:8" ht="16.5" thickTop="1" thickBot="1" x14ac:dyDescent="0.3">
      <c r="B63" s="290" t="s">
        <v>183</v>
      </c>
      <c r="C63" s="937" t="s">
        <v>386</v>
      </c>
      <c r="D63" s="938"/>
      <c r="E63" s="938"/>
      <c r="F63" s="938"/>
      <c r="G63" s="939"/>
    </row>
    <row r="64" spans="1:8" ht="15.75" thickTop="1" x14ac:dyDescent="0.25">
      <c r="B64" s="291"/>
      <c r="C64" s="290"/>
      <c r="D64" s="290"/>
      <c r="E64" s="290" t="s">
        <v>387</v>
      </c>
      <c r="F64" s="290" t="s">
        <v>388</v>
      </c>
      <c r="G64" s="290" t="s">
        <v>122</v>
      </c>
    </row>
    <row r="65" spans="2:10" x14ac:dyDescent="0.25">
      <c r="B65" s="293"/>
      <c r="C65" s="294" t="s">
        <v>8</v>
      </c>
      <c r="D65" s="294" t="s">
        <v>389</v>
      </c>
      <c r="E65" s="294" t="s">
        <v>390</v>
      </c>
      <c r="F65" s="294" t="s">
        <v>391</v>
      </c>
      <c r="G65" s="294" t="s">
        <v>392</v>
      </c>
    </row>
    <row r="66" spans="2:10" ht="15.75" thickBot="1" x14ac:dyDescent="0.3">
      <c r="B66" s="295"/>
      <c r="C66" s="295"/>
      <c r="D66" s="296" t="s">
        <v>393</v>
      </c>
      <c r="E66" s="296" t="s">
        <v>394</v>
      </c>
      <c r="F66" s="296" t="s">
        <v>395</v>
      </c>
      <c r="G66" s="296" t="s">
        <v>396</v>
      </c>
    </row>
    <row r="67" spans="2:10" ht="21" thickTop="1" thickBot="1" x14ac:dyDescent="0.3">
      <c r="B67" s="302" t="s">
        <v>185</v>
      </c>
      <c r="C67" s="396" t="s">
        <v>443</v>
      </c>
      <c r="D67" s="349">
        <v>1</v>
      </c>
      <c r="E67" s="391">
        <v>2637074</v>
      </c>
      <c r="F67" s="349">
        <v>1</v>
      </c>
      <c r="G67" s="350">
        <f>D67*E67/F67</f>
        <v>2637074</v>
      </c>
    </row>
    <row r="68" spans="2:10" ht="15.75" thickTop="1" x14ac:dyDescent="0.25">
      <c r="B68" s="302" t="s">
        <v>280</v>
      </c>
      <c r="C68" s="310" t="s">
        <v>444</v>
      </c>
      <c r="D68" s="300">
        <v>2</v>
      </c>
      <c r="E68" s="397">
        <v>451997.5</v>
      </c>
      <c r="F68" s="300">
        <v>1</v>
      </c>
      <c r="G68" s="350">
        <f>D68*E68/F68</f>
        <v>903995</v>
      </c>
      <c r="I68" s="316"/>
    </row>
    <row r="69" spans="2:10" x14ac:dyDescent="0.25">
      <c r="B69" s="305"/>
      <c r="C69" s="310"/>
      <c r="D69" s="300"/>
      <c r="E69" s="301"/>
      <c r="F69" s="300"/>
      <c r="G69" s="301"/>
      <c r="I69" s="316"/>
    </row>
    <row r="70" spans="2:10" x14ac:dyDescent="0.25">
      <c r="B70" s="305"/>
      <c r="C70" s="324"/>
      <c r="D70" s="325"/>
      <c r="E70" s="363"/>
      <c r="F70" s="325"/>
      <c r="G70" s="301"/>
    </row>
    <row r="71" spans="2:10" x14ac:dyDescent="0.25">
      <c r="B71" s="305"/>
      <c r="C71" s="310"/>
      <c r="D71" s="300"/>
      <c r="E71" s="301"/>
      <c r="F71" s="300"/>
      <c r="G71" s="301"/>
    </row>
    <row r="72" spans="2:10" ht="15.75" thickBot="1" x14ac:dyDescent="0.3">
      <c r="B72" s="297"/>
      <c r="C72" s="298"/>
      <c r="D72" s="299"/>
      <c r="E72" s="292"/>
      <c r="F72" s="300"/>
      <c r="G72" s="301"/>
    </row>
    <row r="73" spans="2:10" ht="16.5" thickTop="1" thickBot="1" x14ac:dyDescent="0.3">
      <c r="F73" s="314" t="s">
        <v>398</v>
      </c>
      <c r="G73" s="315">
        <f>SUM(G67:G72)</f>
        <v>3541069</v>
      </c>
      <c r="J73" s="257"/>
    </row>
    <row r="74" spans="2:10" ht="16.5" thickTop="1" thickBot="1" x14ac:dyDescent="0.3"/>
    <row r="75" spans="2:10" ht="16.5" thickTop="1" thickBot="1" x14ac:dyDescent="0.3">
      <c r="B75" s="317" t="s">
        <v>192</v>
      </c>
      <c r="C75" s="937" t="s">
        <v>399</v>
      </c>
      <c r="D75" s="938"/>
      <c r="E75" s="938"/>
      <c r="F75" s="938"/>
      <c r="G75" s="939"/>
    </row>
    <row r="76" spans="2:10" ht="15.75" thickTop="1" x14ac:dyDescent="0.25">
      <c r="B76" s="318"/>
      <c r="C76" s="290"/>
      <c r="D76" s="290"/>
      <c r="E76" s="290"/>
      <c r="F76" s="290" t="s">
        <v>122</v>
      </c>
      <c r="G76" s="290" t="s">
        <v>122</v>
      </c>
    </row>
    <row r="77" spans="2:10" x14ac:dyDescent="0.25">
      <c r="B77" s="319"/>
      <c r="C77" s="294" t="s">
        <v>8</v>
      </c>
      <c r="D77" s="294" t="s">
        <v>169</v>
      </c>
      <c r="E77" s="294" t="s">
        <v>0</v>
      </c>
      <c r="F77" s="294" t="s">
        <v>400</v>
      </c>
      <c r="G77" s="294" t="s">
        <v>392</v>
      </c>
    </row>
    <row r="78" spans="2:10" ht="15.75" thickBot="1" x14ac:dyDescent="0.3">
      <c r="B78" s="320"/>
      <c r="C78" s="295"/>
      <c r="D78" s="321"/>
      <c r="E78" s="296" t="s">
        <v>401</v>
      </c>
      <c r="F78" s="296" t="s">
        <v>402</v>
      </c>
      <c r="G78" s="296" t="s">
        <v>403</v>
      </c>
    </row>
    <row r="79" spans="2:10" ht="15.75" thickTop="1" x14ac:dyDescent="0.25">
      <c r="B79" s="322" t="s">
        <v>289</v>
      </c>
      <c r="C79" s="306" t="s">
        <v>445</v>
      </c>
      <c r="D79" s="307" t="s">
        <v>446</v>
      </c>
      <c r="E79" s="307">
        <v>1</v>
      </c>
      <c r="F79" s="308">
        <v>78232</v>
      </c>
      <c r="G79" s="308">
        <f>E79*F79</f>
        <v>78232</v>
      </c>
    </row>
    <row r="80" spans="2:10" x14ac:dyDescent="0.25">
      <c r="B80" s="323"/>
      <c r="C80" s="324"/>
      <c r="D80" s="325"/>
      <c r="E80" s="364"/>
      <c r="F80" s="326"/>
      <c r="G80" s="326">
        <f>E80*F80</f>
        <v>0</v>
      </c>
    </row>
    <row r="81" spans="2:9" x14ac:dyDescent="0.25">
      <c r="B81" s="327"/>
      <c r="C81" s="328"/>
      <c r="D81" s="325"/>
      <c r="E81" s="365"/>
      <c r="F81" s="330"/>
      <c r="G81" s="326">
        <f>E81*F81</f>
        <v>0</v>
      </c>
    </row>
    <row r="82" spans="2:9" ht="15.75" thickBot="1" x14ac:dyDescent="0.3">
      <c r="B82" s="331"/>
      <c r="C82" s="332"/>
      <c r="D82" s="299"/>
      <c r="E82" s="366"/>
      <c r="F82" s="334"/>
      <c r="G82" s="292">
        <f>E82*F82</f>
        <v>0</v>
      </c>
    </row>
    <row r="83" spans="2:9" ht="15.75" thickTop="1" x14ac:dyDescent="0.25">
      <c r="D83" s="934" t="s">
        <v>404</v>
      </c>
      <c r="E83" s="934"/>
      <c r="F83" s="335"/>
      <c r="G83" s="336"/>
    </row>
    <row r="84" spans="2:9" x14ac:dyDescent="0.25">
      <c r="D84" s="935" t="s">
        <v>405</v>
      </c>
      <c r="E84" s="935"/>
      <c r="F84" s="337"/>
      <c r="G84" s="338"/>
      <c r="I84" s="313"/>
    </row>
    <row r="85" spans="2:9" ht="15.75" thickBot="1" x14ac:dyDescent="0.3">
      <c r="D85" s="936" t="s">
        <v>406</v>
      </c>
      <c r="E85" s="936"/>
      <c r="F85" s="339"/>
      <c r="G85" s="292">
        <f>SUM(G79:G82)</f>
        <v>78232</v>
      </c>
    </row>
    <row r="86" spans="2:9" ht="16.5" thickTop="1" thickBot="1" x14ac:dyDescent="0.3">
      <c r="I86" s="316"/>
    </row>
    <row r="87" spans="2:9" ht="16.5" thickTop="1" thickBot="1" x14ac:dyDescent="0.3">
      <c r="B87" s="290" t="s">
        <v>407</v>
      </c>
      <c r="C87" s="937" t="s">
        <v>408</v>
      </c>
      <c r="D87" s="938"/>
      <c r="E87" s="938"/>
      <c r="F87" s="938"/>
      <c r="G87" s="939"/>
    </row>
    <row r="88" spans="2:9" ht="15.75" thickTop="1" x14ac:dyDescent="0.25">
      <c r="B88" s="291"/>
      <c r="C88" s="290"/>
      <c r="D88" s="290"/>
      <c r="E88" s="290" t="s">
        <v>52</v>
      </c>
      <c r="F88" s="290" t="s">
        <v>388</v>
      </c>
      <c r="G88" s="290" t="s">
        <v>122</v>
      </c>
      <c r="I88" s="313"/>
    </row>
    <row r="89" spans="2:9" x14ac:dyDescent="0.25">
      <c r="B89" s="293"/>
      <c r="C89" s="294" t="s">
        <v>8</v>
      </c>
      <c r="D89" s="294" t="s">
        <v>389</v>
      </c>
      <c r="E89" s="294" t="s">
        <v>409</v>
      </c>
      <c r="F89" s="294" t="s">
        <v>391</v>
      </c>
      <c r="G89" s="294" t="s">
        <v>392</v>
      </c>
    </row>
    <row r="90" spans="2:9" ht="15.75" thickBot="1" x14ac:dyDescent="0.3">
      <c r="B90" s="295"/>
      <c r="C90" s="295"/>
      <c r="D90" s="296" t="s">
        <v>410</v>
      </c>
      <c r="E90" s="296" t="s">
        <v>411</v>
      </c>
      <c r="F90" s="296" t="s">
        <v>412</v>
      </c>
      <c r="G90" s="296" t="s">
        <v>413</v>
      </c>
    </row>
    <row r="91" spans="2:9" ht="15.75" thickTop="1" x14ac:dyDescent="0.25">
      <c r="B91" s="340" t="s">
        <v>296</v>
      </c>
      <c r="C91" s="341" t="s">
        <v>414</v>
      </c>
      <c r="D91" s="342">
        <v>3</v>
      </c>
      <c r="E91" s="326">
        <v>48802</v>
      </c>
      <c r="F91" s="325">
        <v>1</v>
      </c>
      <c r="G91" s="326">
        <f>D91*E91/F91</f>
        <v>146406</v>
      </c>
    </row>
    <row r="92" spans="2:9" ht="15.75" thickBot="1" x14ac:dyDescent="0.3">
      <c r="B92" s="345" t="s">
        <v>298</v>
      </c>
      <c r="C92" s="346" t="s">
        <v>442</v>
      </c>
      <c r="D92" s="342">
        <v>1</v>
      </c>
      <c r="E92" s="326">
        <v>143406</v>
      </c>
      <c r="F92" s="325">
        <v>1</v>
      </c>
      <c r="G92" s="326">
        <f>D92*E92/F92</f>
        <v>143406</v>
      </c>
    </row>
    <row r="93" spans="2:9" ht="16.5" thickTop="1" thickBot="1" x14ac:dyDescent="0.3">
      <c r="F93" s="314" t="s">
        <v>398</v>
      </c>
      <c r="G93" s="315">
        <f>SUM(G91:G92)</f>
        <v>289812</v>
      </c>
    </row>
    <row r="94" spans="2:9" ht="16.5" thickTop="1" thickBot="1" x14ac:dyDescent="0.3"/>
    <row r="95" spans="2:9" ht="16.5" thickTop="1" thickBot="1" x14ac:dyDescent="0.3">
      <c r="B95" s="290" t="s">
        <v>303</v>
      </c>
      <c r="C95" s="937" t="s">
        <v>416</v>
      </c>
      <c r="D95" s="938"/>
      <c r="E95" s="938"/>
      <c r="F95" s="938"/>
      <c r="G95" s="939"/>
    </row>
    <row r="96" spans="2:9" ht="15.75" thickTop="1" x14ac:dyDescent="0.25">
      <c r="B96" s="291"/>
      <c r="C96" s="290"/>
      <c r="D96" s="290"/>
      <c r="E96" s="290"/>
      <c r="F96" s="290"/>
      <c r="G96" s="290" t="s">
        <v>122</v>
      </c>
    </row>
    <row r="97" spans="1:10" x14ac:dyDescent="0.25">
      <c r="B97" s="293"/>
      <c r="C97" s="294" t="s">
        <v>8</v>
      </c>
      <c r="D97" s="294" t="s">
        <v>389</v>
      </c>
      <c r="E97" s="294" t="s">
        <v>182</v>
      </c>
      <c r="F97" s="294" t="s">
        <v>388</v>
      </c>
      <c r="G97" s="294" t="s">
        <v>392</v>
      </c>
    </row>
    <row r="98" spans="1:10" ht="15.75" thickBot="1" x14ac:dyDescent="0.3">
      <c r="B98" s="295"/>
      <c r="C98" s="295"/>
      <c r="D98" s="296" t="s">
        <v>417</v>
      </c>
      <c r="E98" s="296" t="s">
        <v>418</v>
      </c>
      <c r="F98" s="296" t="s">
        <v>419</v>
      </c>
      <c r="G98" s="296" t="s">
        <v>420</v>
      </c>
    </row>
    <row r="99" spans="1:10" ht="16.5" thickTop="1" thickBot="1" x14ac:dyDescent="0.3">
      <c r="B99" s="347" t="s">
        <v>306</v>
      </c>
      <c r="C99" s="348" t="s">
        <v>447</v>
      </c>
      <c r="D99" s="349">
        <v>1</v>
      </c>
      <c r="E99" s="350">
        <v>1607100</v>
      </c>
      <c r="F99" s="349">
        <v>1</v>
      </c>
      <c r="G99" s="350">
        <f>(D99*E99)/F99</f>
        <v>1607100</v>
      </c>
    </row>
    <row r="100" spans="1:10" ht="16.5" thickTop="1" thickBot="1" x14ac:dyDescent="0.3">
      <c r="B100" s="331" t="s">
        <v>308</v>
      </c>
      <c r="C100" s="351" t="s">
        <v>448</v>
      </c>
      <c r="D100" s="299">
        <v>1</v>
      </c>
      <c r="E100" s="350">
        <v>60000</v>
      </c>
      <c r="F100" s="299">
        <v>1</v>
      </c>
      <c r="G100" s="350">
        <f>(D100*E100)/F100</f>
        <v>60000</v>
      </c>
      <c r="I100" s="375"/>
    </row>
    <row r="101" spans="1:10" ht="16.5" thickTop="1" thickBot="1" x14ac:dyDescent="0.3">
      <c r="F101" s="314" t="s">
        <v>398</v>
      </c>
      <c r="G101" s="315">
        <f>SUM(G99:G100)</f>
        <v>1667100</v>
      </c>
    </row>
    <row r="102" spans="1:10" ht="16.5" thickTop="1" thickBot="1" x14ac:dyDescent="0.3">
      <c r="G102" s="269"/>
      <c r="I102" s="256"/>
    </row>
    <row r="103" spans="1:10" ht="16.5" thickTop="1" thickBot="1" x14ac:dyDescent="0.3">
      <c r="B103" s="930" t="s">
        <v>422</v>
      </c>
      <c r="C103" s="931"/>
      <c r="D103" s="931"/>
      <c r="E103" s="931"/>
      <c r="F103" s="352"/>
      <c r="G103" s="353">
        <f>G73+G85+G93+G101</f>
        <v>5576213</v>
      </c>
    </row>
    <row r="104" spans="1:10" ht="16.5" thickTop="1" thickBot="1" x14ac:dyDescent="0.3">
      <c r="B104" s="930" t="s">
        <v>423</v>
      </c>
      <c r="C104" s="931"/>
      <c r="D104" s="931"/>
      <c r="E104" s="931"/>
      <c r="F104" s="354">
        <v>0</v>
      </c>
      <c r="G104" s="355"/>
    </row>
    <row r="105" spans="1:10" ht="16.5" thickTop="1" thickBot="1" x14ac:dyDescent="0.3">
      <c r="B105" s="356" t="s">
        <v>424</v>
      </c>
      <c r="C105" s="357"/>
      <c r="D105" s="357"/>
      <c r="E105" s="357"/>
      <c r="F105" s="358"/>
      <c r="G105" s="359">
        <f>G103</f>
        <v>5576213</v>
      </c>
      <c r="I105" s="360"/>
      <c r="J105" s="360"/>
    </row>
    <row r="106" spans="1:10" ht="15.75" thickTop="1" x14ac:dyDescent="0.25">
      <c r="B106" s="376"/>
      <c r="C106" s="376"/>
      <c r="D106" s="376"/>
      <c r="E106" s="376"/>
      <c r="F106" s="377"/>
      <c r="G106" s="378"/>
    </row>
    <row r="107" spans="1:10" x14ac:dyDescent="0.25">
      <c r="B107" s="376"/>
      <c r="C107" s="362" t="s">
        <v>425</v>
      </c>
      <c r="G107" s="378"/>
    </row>
    <row r="108" spans="1:10" ht="12" customHeight="1" x14ac:dyDescent="0.25">
      <c r="B108" s="376"/>
      <c r="C108" s="932" t="s">
        <v>621</v>
      </c>
      <c r="D108" s="932"/>
      <c r="E108" s="932"/>
      <c r="F108" s="932"/>
      <c r="G108" s="378"/>
    </row>
    <row r="109" spans="1:10" ht="15.75" thickBot="1" x14ac:dyDescent="0.3">
      <c r="A109" s="380"/>
      <c r="B109" s="380"/>
      <c r="C109" s="380"/>
      <c r="D109" s="380"/>
      <c r="E109" s="380"/>
      <c r="F109" s="380"/>
      <c r="G109" s="380"/>
      <c r="H109" s="380"/>
    </row>
    <row r="110" spans="1:10" ht="15.75" thickTop="1" x14ac:dyDescent="0.25">
      <c r="A110" s="940" t="s">
        <v>378</v>
      </c>
      <c r="B110" s="941"/>
      <c r="C110" s="941"/>
      <c r="D110" s="941"/>
      <c r="E110" s="941"/>
      <c r="F110" s="941"/>
      <c r="G110" s="941"/>
      <c r="H110" s="942"/>
    </row>
    <row r="111" spans="1:10" x14ac:dyDescent="0.25">
      <c r="A111" s="943" t="s">
        <v>379</v>
      </c>
      <c r="B111" s="944"/>
      <c r="C111" s="944"/>
      <c r="D111" s="944"/>
      <c r="E111" s="944"/>
      <c r="F111" s="944"/>
      <c r="G111" s="944"/>
      <c r="H111" s="945"/>
    </row>
    <row r="112" spans="1:10" ht="15.75" thickBot="1" x14ac:dyDescent="0.3">
      <c r="A112" s="946" t="s">
        <v>261</v>
      </c>
      <c r="B112" s="947"/>
      <c r="C112" s="947"/>
      <c r="D112" s="947"/>
      <c r="E112" s="947"/>
      <c r="F112" s="947"/>
      <c r="G112" s="947"/>
      <c r="H112" s="948"/>
    </row>
    <row r="113" spans="1:9" ht="16.5" thickTop="1" thickBot="1" x14ac:dyDescent="0.3">
      <c r="A113" s="949" t="s">
        <v>30</v>
      </c>
      <c r="B113" s="950"/>
      <c r="C113" s="950"/>
      <c r="D113" s="950"/>
      <c r="E113" s="950"/>
      <c r="F113" s="950"/>
      <c r="G113" s="950"/>
      <c r="H113" s="951"/>
    </row>
    <row r="114" spans="1:9" ht="15.75" thickTop="1" x14ac:dyDescent="0.25">
      <c r="A114" s="277" t="s">
        <v>380</v>
      </c>
      <c r="B114" s="952" t="str">
        <f>B59</f>
        <v>REPOSICION DE SEMAFORIZACION INTERSECCIONES VIALES</v>
      </c>
      <c r="C114" s="952"/>
      <c r="D114" s="952"/>
      <c r="E114" s="952"/>
      <c r="F114" s="952"/>
      <c r="G114" s="278"/>
      <c r="H114" s="279"/>
    </row>
    <row r="115" spans="1:9" x14ac:dyDescent="0.25">
      <c r="A115" s="280" t="s">
        <v>382</v>
      </c>
      <c r="B115" s="281" t="s">
        <v>192</v>
      </c>
      <c r="C115" s="281" t="s">
        <v>288</v>
      </c>
      <c r="D115" s="281"/>
      <c r="E115" s="282"/>
      <c r="F115" s="283" t="s">
        <v>383</v>
      </c>
      <c r="G115" s="284" t="s">
        <v>169</v>
      </c>
      <c r="H115" s="285"/>
    </row>
    <row r="116" spans="1:9" ht="41.25" customHeight="1" thickBot="1" x14ac:dyDescent="0.3">
      <c r="A116" s="286" t="s">
        <v>384</v>
      </c>
      <c r="B116" s="287" t="s">
        <v>293</v>
      </c>
      <c r="C116" s="953" t="s">
        <v>294</v>
      </c>
      <c r="D116" s="953"/>
      <c r="E116" s="953"/>
      <c r="F116" s="288" t="s">
        <v>385</v>
      </c>
      <c r="G116" s="287" t="s">
        <v>620</v>
      </c>
      <c r="H116" s="289"/>
    </row>
    <row r="117" spans="1:9" ht="16.5" thickTop="1" thickBot="1" x14ac:dyDescent="0.3"/>
    <row r="118" spans="1:9" ht="16.5" thickTop="1" thickBot="1" x14ac:dyDescent="0.3">
      <c r="B118" s="290" t="s">
        <v>183</v>
      </c>
      <c r="C118" s="937" t="s">
        <v>386</v>
      </c>
      <c r="D118" s="938"/>
      <c r="E118" s="938"/>
      <c r="F118" s="938"/>
      <c r="G118" s="939"/>
    </row>
    <row r="119" spans="1:9" ht="15.75" thickTop="1" x14ac:dyDescent="0.25">
      <c r="B119" s="291"/>
      <c r="C119" s="290"/>
      <c r="D119" s="290"/>
      <c r="E119" s="290" t="s">
        <v>387</v>
      </c>
      <c r="F119" s="290" t="s">
        <v>388</v>
      </c>
      <c r="G119" s="290" t="s">
        <v>122</v>
      </c>
    </row>
    <row r="120" spans="1:9" x14ac:dyDescent="0.25">
      <c r="B120" s="293"/>
      <c r="C120" s="294" t="s">
        <v>8</v>
      </c>
      <c r="D120" s="294" t="s">
        <v>389</v>
      </c>
      <c r="E120" s="294" t="s">
        <v>390</v>
      </c>
      <c r="F120" s="294" t="s">
        <v>391</v>
      </c>
      <c r="G120" s="294" t="s">
        <v>392</v>
      </c>
    </row>
    <row r="121" spans="1:9" ht="15.75" thickBot="1" x14ac:dyDescent="0.3">
      <c r="B121" s="295"/>
      <c r="C121" s="295"/>
      <c r="D121" s="296" t="s">
        <v>393</v>
      </c>
      <c r="E121" s="296" t="s">
        <v>394</v>
      </c>
      <c r="F121" s="296" t="s">
        <v>395</v>
      </c>
      <c r="G121" s="296" t="s">
        <v>396</v>
      </c>
    </row>
    <row r="122" spans="1:9" ht="16.5" thickTop="1" thickBot="1" x14ac:dyDescent="0.3">
      <c r="B122" s="297" t="s">
        <v>449</v>
      </c>
      <c r="C122" s="298" t="s">
        <v>450</v>
      </c>
      <c r="D122" s="299">
        <v>1</v>
      </c>
      <c r="E122" s="292">
        <v>12814146</v>
      </c>
      <c r="F122" s="300">
        <v>1</v>
      </c>
      <c r="G122" s="301">
        <f>D122*E122/F122</f>
        <v>12814146</v>
      </c>
    </row>
    <row r="123" spans="1:9" ht="15.75" thickTop="1" x14ac:dyDescent="0.25">
      <c r="B123" s="381" t="s">
        <v>280</v>
      </c>
      <c r="C123" s="382" t="s">
        <v>451</v>
      </c>
      <c r="D123" s="307">
        <v>1</v>
      </c>
      <c r="E123" s="308">
        <v>78232</v>
      </c>
      <c r="F123" s="309">
        <v>1</v>
      </c>
      <c r="G123" s="308">
        <f>E123*F123</f>
        <v>78232</v>
      </c>
    </row>
    <row r="124" spans="1:9" ht="15.75" thickBot="1" x14ac:dyDescent="0.3">
      <c r="B124" s="323" t="s">
        <v>282</v>
      </c>
      <c r="C124" s="383" t="s">
        <v>452</v>
      </c>
      <c r="D124" s="325">
        <v>1</v>
      </c>
      <c r="E124" s="326">
        <v>1767772</v>
      </c>
      <c r="F124" s="384">
        <v>1</v>
      </c>
      <c r="G124" s="326">
        <f>E124*F124</f>
        <v>1767772</v>
      </c>
    </row>
    <row r="125" spans="1:9" ht="16.5" thickTop="1" thickBot="1" x14ac:dyDescent="0.3">
      <c r="F125" s="314" t="s">
        <v>398</v>
      </c>
      <c r="G125" s="315">
        <f>SUM(G122:G124)</f>
        <v>14660150</v>
      </c>
      <c r="I125" s="316"/>
    </row>
    <row r="126" spans="1:9" ht="16.5" thickTop="1" thickBot="1" x14ac:dyDescent="0.3"/>
    <row r="127" spans="1:9" ht="16.5" thickTop="1" thickBot="1" x14ac:dyDescent="0.3">
      <c r="B127" s="317" t="s">
        <v>192</v>
      </c>
      <c r="C127" s="933" t="s">
        <v>399</v>
      </c>
      <c r="D127" s="933"/>
      <c r="E127" s="933"/>
      <c r="F127" s="933"/>
      <c r="G127" s="933"/>
    </row>
    <row r="128" spans="1:9" ht="15.75" thickTop="1" x14ac:dyDescent="0.25">
      <c r="B128" s="318"/>
      <c r="C128" s="290"/>
      <c r="D128" s="290"/>
      <c r="E128" s="290"/>
      <c r="F128" s="290" t="s">
        <v>122</v>
      </c>
      <c r="G128" s="290" t="s">
        <v>122</v>
      </c>
    </row>
    <row r="129" spans="2:10" x14ac:dyDescent="0.25">
      <c r="B129" s="319"/>
      <c r="C129" s="294" t="s">
        <v>8</v>
      </c>
      <c r="D129" s="294" t="s">
        <v>169</v>
      </c>
      <c r="E129" s="294" t="s">
        <v>0</v>
      </c>
      <c r="F129" s="294" t="s">
        <v>400</v>
      </c>
      <c r="G129" s="294" t="s">
        <v>392</v>
      </c>
    </row>
    <row r="130" spans="2:10" ht="15.75" thickBot="1" x14ac:dyDescent="0.3">
      <c r="B130" s="320"/>
      <c r="C130" s="295"/>
      <c r="D130" s="321"/>
      <c r="E130" s="296" t="s">
        <v>401</v>
      </c>
      <c r="F130" s="296" t="s">
        <v>402</v>
      </c>
      <c r="G130" s="296" t="s">
        <v>403</v>
      </c>
    </row>
    <row r="131" spans="2:10" ht="15.75" thickTop="1" x14ac:dyDescent="0.25">
      <c r="B131" s="381"/>
      <c r="C131" s="382"/>
      <c r="D131" s="307"/>
      <c r="E131" s="307"/>
      <c r="F131" s="308"/>
      <c r="G131" s="308"/>
    </row>
    <row r="132" spans="2:10" x14ac:dyDescent="0.25">
      <c r="B132" s="323"/>
      <c r="C132" s="383"/>
      <c r="D132" s="325"/>
      <c r="E132" s="325"/>
      <c r="F132" s="326"/>
      <c r="G132" s="326"/>
    </row>
    <row r="133" spans="2:10" x14ac:dyDescent="0.25">
      <c r="D133" s="934" t="s">
        <v>404</v>
      </c>
      <c r="E133" s="934"/>
      <c r="F133" s="335"/>
      <c r="G133" s="336"/>
      <c r="I133" s="316"/>
    </row>
    <row r="134" spans="2:10" x14ac:dyDescent="0.25">
      <c r="D134" s="935" t="s">
        <v>405</v>
      </c>
      <c r="E134" s="935"/>
      <c r="F134" s="337"/>
      <c r="G134" s="338"/>
    </row>
    <row r="135" spans="2:10" ht="15.75" thickBot="1" x14ac:dyDescent="0.3">
      <c r="D135" s="936" t="s">
        <v>406</v>
      </c>
      <c r="E135" s="936"/>
      <c r="F135" s="339"/>
      <c r="G135" s="292">
        <f>SUM(G131:G132)</f>
        <v>0</v>
      </c>
      <c r="J135" s="313"/>
    </row>
    <row r="136" spans="2:10" ht="16.5" thickTop="1" thickBot="1" x14ac:dyDescent="0.3"/>
    <row r="137" spans="2:10" ht="16.5" thickTop="1" thickBot="1" x14ac:dyDescent="0.3">
      <c r="B137" s="290" t="s">
        <v>407</v>
      </c>
      <c r="C137" s="933" t="s">
        <v>408</v>
      </c>
      <c r="D137" s="933"/>
      <c r="E137" s="933"/>
      <c r="F137" s="933"/>
      <c r="G137" s="933"/>
      <c r="I137" s="313"/>
    </row>
    <row r="138" spans="2:10" ht="15.75" thickTop="1" x14ac:dyDescent="0.25">
      <c r="B138" s="291"/>
      <c r="C138" s="290"/>
      <c r="D138" s="290"/>
      <c r="E138" s="290" t="s">
        <v>52</v>
      </c>
      <c r="F138" s="290" t="s">
        <v>388</v>
      </c>
      <c r="G138" s="290" t="s">
        <v>122</v>
      </c>
    </row>
    <row r="139" spans="2:10" x14ac:dyDescent="0.25">
      <c r="B139" s="293"/>
      <c r="C139" s="294" t="s">
        <v>8</v>
      </c>
      <c r="D139" s="294" t="s">
        <v>389</v>
      </c>
      <c r="E139" s="294" t="s">
        <v>409</v>
      </c>
      <c r="F139" s="294" t="s">
        <v>391</v>
      </c>
      <c r="G139" s="294" t="s">
        <v>392</v>
      </c>
    </row>
    <row r="140" spans="2:10" ht="15.75" thickBot="1" x14ac:dyDescent="0.3">
      <c r="B140" s="295"/>
      <c r="C140" s="295"/>
      <c r="D140" s="296" t="s">
        <v>410</v>
      </c>
      <c r="E140" s="296" t="s">
        <v>411</v>
      </c>
      <c r="F140" s="296" t="s">
        <v>412</v>
      </c>
      <c r="G140" s="296" t="s">
        <v>413</v>
      </c>
    </row>
    <row r="141" spans="2:10" ht="15.75" thickTop="1" x14ac:dyDescent="0.25">
      <c r="B141" s="340" t="s">
        <v>296</v>
      </c>
      <c r="C141" s="341" t="s">
        <v>453</v>
      </c>
      <c r="D141" s="342">
        <v>1</v>
      </c>
      <c r="E141" s="312">
        <v>193046</v>
      </c>
      <c r="F141" s="325">
        <v>1</v>
      </c>
      <c r="G141" s="326">
        <f>D141*E141/F141</f>
        <v>193046</v>
      </c>
    </row>
    <row r="142" spans="2:10" ht="15.75" thickBot="1" x14ac:dyDescent="0.3">
      <c r="B142" s="343"/>
      <c r="C142" s="344"/>
      <c r="D142" s="342"/>
      <c r="E142" s="326"/>
      <c r="F142" s="325"/>
      <c r="G142" s="326"/>
    </row>
    <row r="143" spans="2:10" ht="16.5" thickTop="1" thickBot="1" x14ac:dyDescent="0.3">
      <c r="F143" s="314" t="s">
        <v>398</v>
      </c>
      <c r="G143" s="315">
        <f>SUM(G141:G142)</f>
        <v>193046</v>
      </c>
    </row>
    <row r="144" spans="2:10" ht="16.5" thickTop="1" thickBot="1" x14ac:dyDescent="0.3"/>
    <row r="145" spans="2:10" ht="16.5" thickTop="1" thickBot="1" x14ac:dyDescent="0.3">
      <c r="B145" s="290" t="s">
        <v>303</v>
      </c>
      <c r="C145" s="933" t="s">
        <v>416</v>
      </c>
      <c r="D145" s="933"/>
      <c r="E145" s="933"/>
      <c r="F145" s="933"/>
      <c r="G145" s="933"/>
    </row>
    <row r="146" spans="2:10" ht="15.75" thickTop="1" x14ac:dyDescent="0.25">
      <c r="B146" s="291"/>
      <c r="C146" s="290"/>
      <c r="D146" s="290"/>
      <c r="E146" s="290"/>
      <c r="F146" s="290"/>
      <c r="G146" s="290" t="s">
        <v>122</v>
      </c>
    </row>
    <row r="147" spans="2:10" x14ac:dyDescent="0.25">
      <c r="B147" s="293"/>
      <c r="C147" s="294" t="s">
        <v>8</v>
      </c>
      <c r="D147" s="294" t="s">
        <v>389</v>
      </c>
      <c r="E147" s="294" t="s">
        <v>182</v>
      </c>
      <c r="F147" s="294" t="s">
        <v>388</v>
      </c>
      <c r="G147" s="294" t="s">
        <v>392</v>
      </c>
    </row>
    <row r="148" spans="2:10" ht="15.75" thickBot="1" x14ac:dyDescent="0.3">
      <c r="B148" s="295"/>
      <c r="C148" s="295"/>
      <c r="D148" s="296" t="s">
        <v>417</v>
      </c>
      <c r="E148" s="296" t="s">
        <v>418</v>
      </c>
      <c r="F148" s="296" t="s">
        <v>419</v>
      </c>
      <c r="G148" s="296" t="s">
        <v>420</v>
      </c>
    </row>
    <row r="149" spans="2:10" ht="15.75" thickTop="1" x14ac:dyDescent="0.25">
      <c r="B149" s="347" t="s">
        <v>306</v>
      </c>
      <c r="C149" s="348" t="s">
        <v>454</v>
      </c>
      <c r="D149" s="349">
        <v>2</v>
      </c>
      <c r="E149" s="350">
        <v>629334</v>
      </c>
      <c r="F149" s="349">
        <v>1</v>
      </c>
      <c r="G149" s="350">
        <f>(D149*E149)/F149</f>
        <v>1258668</v>
      </c>
    </row>
    <row r="150" spans="2:10" ht="15.75" thickBot="1" x14ac:dyDescent="0.3">
      <c r="B150" s="331"/>
      <c r="C150" s="351"/>
      <c r="D150" s="299"/>
      <c r="E150" s="299"/>
      <c r="F150" s="299"/>
      <c r="G150" s="292"/>
      <c r="I150" s="313"/>
      <c r="J150" s="313"/>
    </row>
    <row r="151" spans="2:10" ht="16.5" thickTop="1" thickBot="1" x14ac:dyDescent="0.3">
      <c r="F151" s="314" t="s">
        <v>398</v>
      </c>
      <c r="G151" s="315">
        <f>SUM(G149:G150)</f>
        <v>1258668</v>
      </c>
    </row>
    <row r="152" spans="2:10" ht="16.5" thickTop="1" thickBot="1" x14ac:dyDescent="0.3">
      <c r="G152" s="269"/>
    </row>
    <row r="153" spans="2:10" ht="16.5" thickTop="1" thickBot="1" x14ac:dyDescent="0.3">
      <c r="B153" s="928" t="s">
        <v>422</v>
      </c>
      <c r="C153" s="929"/>
      <c r="D153" s="929"/>
      <c r="E153" s="929"/>
      <c r="F153" s="352"/>
      <c r="G153" s="353">
        <f>G125+G135+G143+G151</f>
        <v>16111864</v>
      </c>
    </row>
    <row r="154" spans="2:10" ht="16.5" thickTop="1" thickBot="1" x14ac:dyDescent="0.3">
      <c r="B154" s="930" t="s">
        <v>423</v>
      </c>
      <c r="C154" s="931"/>
      <c r="D154" s="931"/>
      <c r="E154" s="931"/>
      <c r="F154" s="354">
        <v>0</v>
      </c>
      <c r="G154" s="355"/>
      <c r="I154" s="386"/>
    </row>
    <row r="155" spans="2:10" ht="16.5" thickTop="1" thickBot="1" x14ac:dyDescent="0.3">
      <c r="B155" s="356" t="s">
        <v>424</v>
      </c>
      <c r="C155" s="357"/>
      <c r="D155" s="357"/>
      <c r="E155" s="357"/>
      <c r="F155" s="358"/>
      <c r="G155" s="359">
        <f>G153</f>
        <v>16111864</v>
      </c>
      <c r="I155" s="360"/>
    </row>
    <row r="156" spans="2:10" ht="15.75" thickTop="1" x14ac:dyDescent="0.25">
      <c r="B156" s="376"/>
      <c r="C156" s="376"/>
      <c r="D156" s="376"/>
      <c r="E156" s="376"/>
      <c r="F156" s="377"/>
      <c r="G156" s="378"/>
    </row>
    <row r="157" spans="2:10" x14ac:dyDescent="0.25">
      <c r="B157" s="376"/>
      <c r="C157" s="362" t="s">
        <v>425</v>
      </c>
      <c r="G157" s="378"/>
    </row>
    <row r="158" spans="2:10" ht="12.75" customHeight="1" x14ac:dyDescent="0.25">
      <c r="B158" s="376"/>
      <c r="C158" s="932" t="s">
        <v>621</v>
      </c>
      <c r="D158" s="932"/>
      <c r="E158" s="932"/>
      <c r="F158" s="932"/>
      <c r="G158" s="378"/>
    </row>
  </sheetData>
  <mergeCells count="50">
    <mergeCell ref="C7:E7"/>
    <mergeCell ref="A1:H1"/>
    <mergeCell ref="A2:H2"/>
    <mergeCell ref="A3:H3"/>
    <mergeCell ref="A4:H4"/>
    <mergeCell ref="B5:F5"/>
    <mergeCell ref="A55:H55"/>
    <mergeCell ref="C8:G8"/>
    <mergeCell ref="C12:C13"/>
    <mergeCell ref="C19:G19"/>
    <mergeCell ref="D27:E27"/>
    <mergeCell ref="D28:E28"/>
    <mergeCell ref="D29:E29"/>
    <mergeCell ref="C30:G30"/>
    <mergeCell ref="C38:G38"/>
    <mergeCell ref="B45:E45"/>
    <mergeCell ref="B46:E46"/>
    <mergeCell ref="C51:F51"/>
    <mergeCell ref="C87:G87"/>
    <mergeCell ref="A56:H56"/>
    <mergeCell ref="A57:H57"/>
    <mergeCell ref="A58:H58"/>
    <mergeCell ref="B59:F59"/>
    <mergeCell ref="C60:E60"/>
    <mergeCell ref="C61:E61"/>
    <mergeCell ref="C63:G63"/>
    <mergeCell ref="C75:G75"/>
    <mergeCell ref="D83:E83"/>
    <mergeCell ref="D84:E84"/>
    <mergeCell ref="D85:E85"/>
    <mergeCell ref="C127:G127"/>
    <mergeCell ref="C95:G95"/>
    <mergeCell ref="B103:E103"/>
    <mergeCell ref="B104:E104"/>
    <mergeCell ref="C108:F108"/>
    <mergeCell ref="A110:H110"/>
    <mergeCell ref="A111:H111"/>
    <mergeCell ref="A112:H112"/>
    <mergeCell ref="A113:H113"/>
    <mergeCell ref="B114:F114"/>
    <mergeCell ref="C116:E116"/>
    <mergeCell ref="C118:G118"/>
    <mergeCell ref="B154:E154"/>
    <mergeCell ref="C158:F158"/>
    <mergeCell ref="D133:E133"/>
    <mergeCell ref="D134:E134"/>
    <mergeCell ref="D135:E135"/>
    <mergeCell ref="C137:G137"/>
    <mergeCell ref="C145:G145"/>
    <mergeCell ref="B153:E153"/>
  </mergeCells>
  <pageMargins left="0.7" right="0.7" top="0.75" bottom="0.75" header="0.3" footer="0.3"/>
  <pageSetup scale="8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146"/>
  <sheetViews>
    <sheetView topLeftCell="A133" workbookViewId="0">
      <selection activeCell="C146" sqref="C146:F146"/>
    </sheetView>
  </sheetViews>
  <sheetFormatPr baseColWidth="10" defaultRowHeight="15" x14ac:dyDescent="0.25"/>
  <cols>
    <col min="1" max="2" width="11.42578125" style="5"/>
    <col min="3" max="3" width="23.42578125" style="5" customWidth="1"/>
    <col min="4" max="7" width="11.42578125" style="5"/>
    <col min="8" max="8" width="11.140625" style="5" customWidth="1"/>
    <col min="9" max="9" width="14" style="5" bestFit="1" customWidth="1"/>
    <col min="10" max="10" width="15" style="5" customWidth="1"/>
    <col min="11" max="16384" width="11.42578125" style="5"/>
  </cols>
  <sheetData>
    <row r="1" spans="1:8" ht="15.75" thickTop="1" x14ac:dyDescent="0.25">
      <c r="A1" s="940" t="s">
        <v>378</v>
      </c>
      <c r="B1" s="941"/>
      <c r="C1" s="941"/>
      <c r="D1" s="941"/>
      <c r="E1" s="941"/>
      <c r="F1" s="941"/>
      <c r="G1" s="941"/>
      <c r="H1" s="942"/>
    </row>
    <row r="2" spans="1:8" x14ac:dyDescent="0.25">
      <c r="A2" s="943" t="s">
        <v>379</v>
      </c>
      <c r="B2" s="944"/>
      <c r="C2" s="944"/>
      <c r="D2" s="944"/>
      <c r="E2" s="944"/>
      <c r="F2" s="944"/>
      <c r="G2" s="944"/>
      <c r="H2" s="945"/>
    </row>
    <row r="3" spans="1:8" ht="15.75" thickBot="1" x14ac:dyDescent="0.3">
      <c r="A3" s="946" t="s">
        <v>261</v>
      </c>
      <c r="B3" s="947"/>
      <c r="C3" s="947"/>
      <c r="D3" s="947"/>
      <c r="E3" s="947"/>
      <c r="F3" s="947"/>
      <c r="G3" s="947"/>
      <c r="H3" s="948"/>
    </row>
    <row r="4" spans="1:8" ht="16.5" thickTop="1" thickBot="1" x14ac:dyDescent="0.3">
      <c r="A4" s="949" t="s">
        <v>30</v>
      </c>
      <c r="B4" s="950"/>
      <c r="C4" s="950"/>
      <c r="D4" s="950"/>
      <c r="E4" s="950"/>
      <c r="F4" s="950"/>
      <c r="G4" s="950"/>
      <c r="H4" s="951"/>
    </row>
    <row r="5" spans="1:8" ht="15.75" thickTop="1" x14ac:dyDescent="0.25">
      <c r="A5" s="277" t="s">
        <v>380</v>
      </c>
      <c r="B5" s="952" t="str">
        <f>'[5]Apu''s equipos Nuevos (2)'!B5:F5</f>
        <v>REPOSICION DE SEMAFORIZACION INTERSECCIONES VIALES</v>
      </c>
      <c r="C5" s="952"/>
      <c r="D5" s="952"/>
      <c r="E5" s="952"/>
      <c r="F5" s="952"/>
      <c r="G5" s="278"/>
      <c r="H5" s="279"/>
    </row>
    <row r="6" spans="1:8" x14ac:dyDescent="0.25">
      <c r="A6" s="280" t="s">
        <v>382</v>
      </c>
      <c r="B6" s="281" t="s">
        <v>455</v>
      </c>
      <c r="C6" s="281" t="s">
        <v>456</v>
      </c>
      <c r="D6" s="281">
        <v>1</v>
      </c>
      <c r="E6" s="282"/>
      <c r="F6" s="283" t="s">
        <v>383</v>
      </c>
      <c r="G6" s="284" t="s">
        <v>169</v>
      </c>
      <c r="H6" s="285"/>
    </row>
    <row r="7" spans="1:8" ht="48" customHeight="1" thickBot="1" x14ac:dyDescent="0.3">
      <c r="A7" s="286" t="s">
        <v>384</v>
      </c>
      <c r="B7" s="287" t="s">
        <v>457</v>
      </c>
      <c r="C7" s="956" t="s">
        <v>297</v>
      </c>
      <c r="D7" s="956"/>
      <c r="E7" s="956"/>
      <c r="F7" s="288" t="s">
        <v>385</v>
      </c>
      <c r="G7" s="287" t="s">
        <v>620</v>
      </c>
      <c r="H7" s="289"/>
    </row>
    <row r="8" spans="1:8" ht="16.5" thickTop="1" thickBot="1" x14ac:dyDescent="0.3">
      <c r="D8" s="5">
        <v>1</v>
      </c>
    </row>
    <row r="9" spans="1:8" ht="16.5" thickTop="1" thickBot="1" x14ac:dyDescent="0.3">
      <c r="B9" s="290" t="s">
        <v>183</v>
      </c>
      <c r="C9" s="937" t="s">
        <v>386</v>
      </c>
      <c r="D9" s="938"/>
      <c r="E9" s="938"/>
      <c r="F9" s="938"/>
      <c r="G9" s="939"/>
    </row>
    <row r="10" spans="1:8" ht="15.75" thickTop="1" x14ac:dyDescent="0.25">
      <c r="B10" s="291"/>
      <c r="C10" s="290"/>
      <c r="D10" s="290">
        <v>1</v>
      </c>
      <c r="E10" s="290" t="s">
        <v>387</v>
      </c>
      <c r="F10" s="290" t="s">
        <v>388</v>
      </c>
      <c r="G10" s="290" t="s">
        <v>122</v>
      </c>
    </row>
    <row r="11" spans="1:8" x14ac:dyDescent="0.25">
      <c r="B11" s="293"/>
      <c r="C11" s="294" t="s">
        <v>8</v>
      </c>
      <c r="D11" s="294">
        <v>1</v>
      </c>
      <c r="E11" s="294" t="s">
        <v>390</v>
      </c>
      <c r="F11" s="294" t="s">
        <v>391</v>
      </c>
      <c r="G11" s="294" t="s">
        <v>392</v>
      </c>
    </row>
    <row r="12" spans="1:8" ht="15.75" thickBot="1" x14ac:dyDescent="0.3">
      <c r="B12" s="295"/>
      <c r="C12" s="295"/>
      <c r="D12" s="296">
        <v>1</v>
      </c>
      <c r="E12" s="296" t="s">
        <v>394</v>
      </c>
      <c r="F12" s="296" t="s">
        <v>395</v>
      </c>
      <c r="G12" s="296" t="s">
        <v>396</v>
      </c>
    </row>
    <row r="13" spans="1:8" ht="16.5" thickTop="1" thickBot="1" x14ac:dyDescent="0.3">
      <c r="B13" s="302">
        <v>1.1000000000000001</v>
      </c>
      <c r="C13" s="957" t="s">
        <v>458</v>
      </c>
      <c r="D13" s="349">
        <v>1</v>
      </c>
      <c r="E13" s="391">
        <v>3203184</v>
      </c>
      <c r="F13" s="349">
        <v>1</v>
      </c>
      <c r="G13" s="350">
        <f>D13*E13/F13</f>
        <v>3203184</v>
      </c>
    </row>
    <row r="14" spans="1:8" ht="16.5" thickTop="1" thickBot="1" x14ac:dyDescent="0.3">
      <c r="B14" s="302"/>
      <c r="C14" s="958"/>
      <c r="D14" s="300">
        <v>2</v>
      </c>
      <c r="E14" s="304"/>
      <c r="F14" s="300"/>
      <c r="G14" s="350"/>
    </row>
    <row r="15" spans="1:8" ht="16.5" thickTop="1" thickBot="1" x14ac:dyDescent="0.3">
      <c r="B15" s="322" t="s">
        <v>280</v>
      </c>
      <c r="C15" s="306" t="s">
        <v>459</v>
      </c>
      <c r="D15" s="307">
        <v>3</v>
      </c>
      <c r="E15" s="308">
        <v>549163</v>
      </c>
      <c r="F15" s="309">
        <v>1</v>
      </c>
      <c r="G15" s="308">
        <f>E15*F15</f>
        <v>549163</v>
      </c>
    </row>
    <row r="16" spans="1:8" ht="16.5" thickTop="1" thickBot="1" x14ac:dyDescent="0.3">
      <c r="B16" s="323" t="s">
        <v>282</v>
      </c>
      <c r="C16" s="324" t="s">
        <v>451</v>
      </c>
      <c r="D16" s="325">
        <v>4</v>
      </c>
      <c r="E16" s="326">
        <v>175114</v>
      </c>
      <c r="F16" s="384">
        <v>1</v>
      </c>
      <c r="G16" s="308">
        <f>E16*F16</f>
        <v>175114</v>
      </c>
    </row>
    <row r="17" spans="2:9" ht="16.5" thickTop="1" thickBot="1" x14ac:dyDescent="0.3">
      <c r="F17" s="314" t="s">
        <v>398</v>
      </c>
      <c r="G17" s="315">
        <f>SUM(G13:G16)</f>
        <v>3927461</v>
      </c>
    </row>
    <row r="18" spans="2:9" ht="16.5" thickTop="1" thickBot="1" x14ac:dyDescent="0.3">
      <c r="D18" s="5">
        <v>2</v>
      </c>
      <c r="I18" s="313"/>
    </row>
    <row r="19" spans="2:9" ht="16.5" thickTop="1" thickBot="1" x14ac:dyDescent="0.3">
      <c r="B19" s="317" t="s">
        <v>192</v>
      </c>
      <c r="C19" s="933" t="s">
        <v>399</v>
      </c>
      <c r="D19" s="933"/>
      <c r="E19" s="933"/>
      <c r="F19" s="933"/>
      <c r="G19" s="933"/>
    </row>
    <row r="20" spans="2:9" ht="15.75" thickTop="1" x14ac:dyDescent="0.25">
      <c r="B20" s="318"/>
      <c r="C20" s="290"/>
      <c r="D20" s="290">
        <v>105</v>
      </c>
      <c r="E20" s="290"/>
      <c r="F20" s="290" t="s">
        <v>122</v>
      </c>
      <c r="G20" s="290" t="s">
        <v>122</v>
      </c>
    </row>
    <row r="21" spans="2:9" x14ac:dyDescent="0.25">
      <c r="B21" s="319"/>
      <c r="C21" s="294" t="s">
        <v>8</v>
      </c>
      <c r="D21" s="294">
        <v>125</v>
      </c>
      <c r="E21" s="294" t="s">
        <v>0</v>
      </c>
      <c r="F21" s="294" t="s">
        <v>400</v>
      </c>
      <c r="G21" s="294" t="s">
        <v>392</v>
      </c>
    </row>
    <row r="22" spans="2:9" ht="15.75" thickBot="1" x14ac:dyDescent="0.3">
      <c r="B22" s="320"/>
      <c r="C22" s="295"/>
      <c r="D22" s="321">
        <v>65</v>
      </c>
      <c r="E22" s="296" t="s">
        <v>401</v>
      </c>
      <c r="F22" s="296" t="s">
        <v>402</v>
      </c>
      <c r="G22" s="296" t="s">
        <v>403</v>
      </c>
    </row>
    <row r="23" spans="2:9" ht="16.5" thickTop="1" thickBot="1" x14ac:dyDescent="0.3">
      <c r="B23" s="322"/>
      <c r="C23" s="306"/>
      <c r="D23" s="307">
        <v>1</v>
      </c>
      <c r="E23" s="307"/>
      <c r="F23" s="308"/>
      <c r="G23" s="308"/>
    </row>
    <row r="24" spans="2:9" ht="15.75" thickTop="1" x14ac:dyDescent="0.25">
      <c r="B24" s="323"/>
      <c r="C24" s="324"/>
      <c r="D24" s="325">
        <v>1</v>
      </c>
      <c r="E24" s="325"/>
      <c r="F24" s="326"/>
      <c r="G24" s="308"/>
    </row>
    <row r="25" spans="2:9" x14ac:dyDescent="0.25">
      <c r="D25" s="934" t="s">
        <v>404</v>
      </c>
      <c r="E25" s="934"/>
      <c r="F25" s="335"/>
      <c r="G25" s="336"/>
    </row>
    <row r="26" spans="2:9" x14ac:dyDescent="0.25">
      <c r="D26" s="935">
        <v>30</v>
      </c>
      <c r="E26" s="935"/>
      <c r="F26" s="337"/>
      <c r="G26" s="338"/>
    </row>
    <row r="27" spans="2:9" ht="15.75" thickBot="1" x14ac:dyDescent="0.3">
      <c r="D27" s="936">
        <v>20</v>
      </c>
      <c r="E27" s="936"/>
      <c r="F27" s="339"/>
      <c r="G27" s="292">
        <f>SUM(G23:G24)</f>
        <v>0</v>
      </c>
    </row>
    <row r="28" spans="2:9" ht="16.5" thickTop="1" thickBot="1" x14ac:dyDescent="0.3">
      <c r="D28" s="5">
        <v>10</v>
      </c>
    </row>
    <row r="29" spans="2:9" ht="16.5" thickTop="1" thickBot="1" x14ac:dyDescent="0.3">
      <c r="B29" s="290" t="s">
        <v>407</v>
      </c>
      <c r="C29" s="933" t="s">
        <v>408</v>
      </c>
      <c r="D29" s="933"/>
      <c r="E29" s="933"/>
      <c r="F29" s="933"/>
      <c r="G29" s="933"/>
    </row>
    <row r="30" spans="2:9" ht="15.75" thickTop="1" x14ac:dyDescent="0.25">
      <c r="B30" s="291"/>
      <c r="C30" s="290"/>
      <c r="D30" s="290">
        <v>4</v>
      </c>
      <c r="E30" s="290" t="s">
        <v>52</v>
      </c>
      <c r="F30" s="290" t="s">
        <v>388</v>
      </c>
      <c r="G30" s="290" t="s">
        <v>122</v>
      </c>
    </row>
    <row r="31" spans="2:9" x14ac:dyDescent="0.25">
      <c r="B31" s="293"/>
      <c r="C31" s="294" t="s">
        <v>8</v>
      </c>
      <c r="D31" s="294">
        <v>1</v>
      </c>
      <c r="E31" s="294" t="s">
        <v>409</v>
      </c>
      <c r="F31" s="294" t="s">
        <v>391</v>
      </c>
      <c r="G31" s="294" t="s">
        <v>392</v>
      </c>
    </row>
    <row r="32" spans="2:9" ht="15.75" thickBot="1" x14ac:dyDescent="0.3">
      <c r="B32" s="295"/>
      <c r="C32" s="295"/>
      <c r="D32" s="296">
        <v>2</v>
      </c>
      <c r="E32" s="296" t="s">
        <v>411</v>
      </c>
      <c r="F32" s="296" t="s">
        <v>412</v>
      </c>
      <c r="G32" s="296" t="s">
        <v>413</v>
      </c>
    </row>
    <row r="33" spans="2:10" ht="16.5" thickTop="1" thickBot="1" x14ac:dyDescent="0.3">
      <c r="B33" s="345" t="s">
        <v>296</v>
      </c>
      <c r="C33" s="346" t="s">
        <v>430</v>
      </c>
      <c r="D33" s="342">
        <v>1</v>
      </c>
      <c r="E33" s="326">
        <v>136523</v>
      </c>
      <c r="F33" s="325">
        <v>1</v>
      </c>
      <c r="G33" s="326">
        <f>D33*E33/F33</f>
        <v>136523</v>
      </c>
    </row>
    <row r="34" spans="2:10" ht="16.5" thickTop="1" thickBot="1" x14ac:dyDescent="0.3">
      <c r="B34" s="340" t="s">
        <v>298</v>
      </c>
      <c r="C34" s="341" t="s">
        <v>414</v>
      </c>
      <c r="D34" s="342">
        <v>3</v>
      </c>
      <c r="E34" s="326">
        <v>48802</v>
      </c>
      <c r="F34" s="325">
        <v>1</v>
      </c>
      <c r="G34" s="326">
        <f>D34*E34/F34</f>
        <v>146406</v>
      </c>
    </row>
    <row r="35" spans="2:10" ht="16.5" thickTop="1" thickBot="1" x14ac:dyDescent="0.3">
      <c r="D35" s="5">
        <v>97</v>
      </c>
      <c r="F35" s="314" t="s">
        <v>398</v>
      </c>
      <c r="G35" s="315">
        <f>SUM(G33:G34)</f>
        <v>282929</v>
      </c>
      <c r="J35" s="398"/>
    </row>
    <row r="36" spans="2:10" ht="16.5" thickTop="1" thickBot="1" x14ac:dyDescent="0.3">
      <c r="D36" s="5">
        <v>2</v>
      </c>
    </row>
    <row r="37" spans="2:10" ht="16.5" thickTop="1" thickBot="1" x14ac:dyDescent="0.3">
      <c r="B37" s="290" t="s">
        <v>303</v>
      </c>
      <c r="C37" s="933" t="s">
        <v>416</v>
      </c>
      <c r="D37" s="933"/>
      <c r="E37" s="933"/>
      <c r="F37" s="933"/>
      <c r="G37" s="933"/>
    </row>
    <row r="38" spans="2:10" ht="15.75" thickTop="1" x14ac:dyDescent="0.25">
      <c r="B38" s="291"/>
      <c r="C38" s="290"/>
      <c r="D38" s="290"/>
      <c r="E38" s="290"/>
      <c r="F38" s="290"/>
      <c r="G38" s="290" t="s">
        <v>122</v>
      </c>
    </row>
    <row r="39" spans="2:10" x14ac:dyDescent="0.25">
      <c r="B39" s="293"/>
      <c r="C39" s="294" t="s">
        <v>8</v>
      </c>
      <c r="D39" s="294" t="s">
        <v>389</v>
      </c>
      <c r="E39" s="294" t="s">
        <v>182</v>
      </c>
      <c r="F39" s="294" t="s">
        <v>388</v>
      </c>
      <c r="G39" s="294" t="s">
        <v>392</v>
      </c>
    </row>
    <row r="40" spans="2:10" ht="15.75" thickBot="1" x14ac:dyDescent="0.3">
      <c r="B40" s="295"/>
      <c r="C40" s="295"/>
      <c r="D40" s="296" t="s">
        <v>417</v>
      </c>
      <c r="E40" s="296" t="s">
        <v>418</v>
      </c>
      <c r="F40" s="296" t="s">
        <v>419</v>
      </c>
      <c r="G40" s="296" t="s">
        <v>420</v>
      </c>
    </row>
    <row r="41" spans="2:10" ht="16.5" thickTop="1" thickBot="1" x14ac:dyDescent="0.3">
      <c r="B41" s="347" t="s">
        <v>306</v>
      </c>
      <c r="C41" s="348" t="s">
        <v>448</v>
      </c>
      <c r="D41" s="349">
        <v>1</v>
      </c>
      <c r="E41" s="350">
        <v>60000</v>
      </c>
      <c r="F41" s="349">
        <v>1</v>
      </c>
      <c r="G41" s="326">
        <f>D41*E41/F41</f>
        <v>60000</v>
      </c>
    </row>
    <row r="42" spans="2:10" ht="16.5" thickTop="1" thickBot="1" x14ac:dyDescent="0.3">
      <c r="F42" s="314" t="s">
        <v>398</v>
      </c>
      <c r="G42" s="315">
        <f>SUM(G41:G41)</f>
        <v>60000</v>
      </c>
    </row>
    <row r="43" spans="2:10" ht="16.5" thickTop="1" thickBot="1" x14ac:dyDescent="0.3">
      <c r="B43" s="928" t="s">
        <v>422</v>
      </c>
      <c r="C43" s="929"/>
      <c r="D43" s="929"/>
      <c r="E43" s="929"/>
      <c r="F43" s="352"/>
      <c r="G43" s="353">
        <f>G17+G27+G35+G42</f>
        <v>4270390</v>
      </c>
    </row>
    <row r="44" spans="2:10" ht="16.5" thickTop="1" thickBot="1" x14ac:dyDescent="0.3">
      <c r="B44" s="930" t="s">
        <v>423</v>
      </c>
      <c r="C44" s="931"/>
      <c r="D44" s="931"/>
      <c r="E44" s="931"/>
      <c r="F44" s="354">
        <v>0</v>
      </c>
      <c r="G44" s="355"/>
    </row>
    <row r="45" spans="2:10" ht="16.5" thickTop="1" thickBot="1" x14ac:dyDescent="0.3">
      <c r="B45" s="356" t="s">
        <v>424</v>
      </c>
      <c r="C45" s="357"/>
      <c r="D45" s="357"/>
      <c r="E45" s="357"/>
      <c r="F45" s="358"/>
      <c r="G45" s="359">
        <f>G43</f>
        <v>4270390</v>
      </c>
    </row>
    <row r="46" spans="2:10" ht="15.75" thickTop="1" x14ac:dyDescent="0.25">
      <c r="G46" s="361"/>
    </row>
    <row r="47" spans="2:10" x14ac:dyDescent="0.25">
      <c r="C47" s="362" t="s">
        <v>425</v>
      </c>
      <c r="G47" s="361"/>
    </row>
    <row r="48" spans="2:10" ht="15" customHeight="1" x14ac:dyDescent="0.25">
      <c r="C48" s="932" t="s">
        <v>621</v>
      </c>
      <c r="D48" s="932"/>
      <c r="E48" s="932"/>
      <c r="F48" s="932"/>
      <c r="G48" s="361"/>
    </row>
    <row r="49" spans="1:9" ht="17.25" customHeight="1" thickBot="1" x14ac:dyDescent="0.3">
      <c r="C49" s="379"/>
      <c r="D49" s="379"/>
      <c r="E49" s="379"/>
      <c r="F49" s="379"/>
      <c r="G49" s="361"/>
    </row>
    <row r="50" spans="1:9" ht="15.75" thickTop="1" x14ac:dyDescent="0.25">
      <c r="A50" s="940" t="s">
        <v>378</v>
      </c>
      <c r="B50" s="941"/>
      <c r="C50" s="941"/>
      <c r="D50" s="941"/>
      <c r="E50" s="941"/>
      <c r="F50" s="941"/>
      <c r="G50" s="941"/>
      <c r="H50" s="942"/>
    </row>
    <row r="51" spans="1:9" x14ac:dyDescent="0.25">
      <c r="A51" s="943" t="s">
        <v>379</v>
      </c>
      <c r="B51" s="944"/>
      <c r="C51" s="944"/>
      <c r="D51" s="944"/>
      <c r="E51" s="944"/>
      <c r="F51" s="944"/>
      <c r="G51" s="944"/>
      <c r="H51" s="945"/>
    </row>
    <row r="52" spans="1:9" ht="15.75" thickBot="1" x14ac:dyDescent="0.3">
      <c r="A52" s="946" t="s">
        <v>261</v>
      </c>
      <c r="B52" s="947"/>
      <c r="C52" s="947"/>
      <c r="D52" s="947"/>
      <c r="E52" s="947"/>
      <c r="F52" s="947"/>
      <c r="G52" s="947"/>
      <c r="H52" s="948"/>
    </row>
    <row r="53" spans="1:9" ht="16.5" thickTop="1" thickBot="1" x14ac:dyDescent="0.3">
      <c r="A53" s="949" t="s">
        <v>30</v>
      </c>
      <c r="B53" s="950"/>
      <c r="C53" s="950"/>
      <c r="D53" s="950"/>
      <c r="E53" s="950"/>
      <c r="F53" s="950"/>
      <c r="G53" s="950"/>
      <c r="H53" s="951"/>
    </row>
    <row r="54" spans="1:9" ht="15.75" thickTop="1" x14ac:dyDescent="0.25">
      <c r="A54" s="277" t="s">
        <v>380</v>
      </c>
      <c r="B54" s="952" t="s">
        <v>460</v>
      </c>
      <c r="C54" s="952"/>
      <c r="D54" s="952"/>
      <c r="E54" s="952"/>
      <c r="F54" s="952"/>
      <c r="G54" s="278"/>
      <c r="H54" s="279"/>
    </row>
    <row r="55" spans="1:9" x14ac:dyDescent="0.25">
      <c r="A55" s="280" t="s">
        <v>382</v>
      </c>
      <c r="B55" s="281" t="s">
        <v>407</v>
      </c>
      <c r="C55" s="954" t="s">
        <v>456</v>
      </c>
      <c r="D55" s="954"/>
      <c r="E55" s="954"/>
      <c r="F55" s="283" t="s">
        <v>383</v>
      </c>
      <c r="G55" s="284" t="s">
        <v>169</v>
      </c>
      <c r="H55" s="285"/>
    </row>
    <row r="56" spans="1:9" ht="47.25" customHeight="1" thickBot="1" x14ac:dyDescent="0.3">
      <c r="A56" s="286" t="s">
        <v>384</v>
      </c>
      <c r="B56" s="287" t="s">
        <v>298</v>
      </c>
      <c r="C56" s="955" t="s">
        <v>299</v>
      </c>
      <c r="D56" s="955"/>
      <c r="E56" s="955"/>
      <c r="F56" s="288" t="s">
        <v>385</v>
      </c>
      <c r="G56" s="287" t="s">
        <v>620</v>
      </c>
      <c r="H56" s="289"/>
    </row>
    <row r="57" spans="1:9" ht="16.5" thickTop="1" thickBot="1" x14ac:dyDescent="0.3"/>
    <row r="58" spans="1:9" ht="16.5" thickTop="1" thickBot="1" x14ac:dyDescent="0.3">
      <c r="B58" s="290" t="s">
        <v>183</v>
      </c>
      <c r="C58" s="937" t="s">
        <v>386</v>
      </c>
      <c r="D58" s="938"/>
      <c r="E58" s="938"/>
      <c r="F58" s="938"/>
      <c r="G58" s="939"/>
    </row>
    <row r="59" spans="1:9" ht="15.75" thickTop="1" x14ac:dyDescent="0.25">
      <c r="B59" s="291"/>
      <c r="C59" s="290"/>
      <c r="D59" s="290"/>
      <c r="E59" s="290" t="s">
        <v>387</v>
      </c>
      <c r="F59" s="290" t="s">
        <v>388</v>
      </c>
      <c r="G59" s="290" t="s">
        <v>122</v>
      </c>
    </row>
    <row r="60" spans="1:9" x14ac:dyDescent="0.25">
      <c r="B60" s="293"/>
      <c r="C60" s="294" t="s">
        <v>8</v>
      </c>
      <c r="D60" s="294" t="s">
        <v>389</v>
      </c>
      <c r="E60" s="294" t="s">
        <v>390</v>
      </c>
      <c r="F60" s="294" t="s">
        <v>391</v>
      </c>
      <c r="G60" s="294" t="s">
        <v>392</v>
      </c>
    </row>
    <row r="61" spans="1:9" ht="15.75" thickBot="1" x14ac:dyDescent="0.3">
      <c r="B61" s="295"/>
      <c r="C61" s="295"/>
      <c r="D61" s="296" t="s">
        <v>393</v>
      </c>
      <c r="E61" s="296" t="s">
        <v>394</v>
      </c>
      <c r="F61" s="296" t="s">
        <v>395</v>
      </c>
      <c r="G61" s="296" t="s">
        <v>396</v>
      </c>
    </row>
    <row r="62" spans="1:9" ht="16.5" thickTop="1" thickBot="1" x14ac:dyDescent="0.3">
      <c r="B62" s="302" t="s">
        <v>185</v>
      </c>
      <c r="C62" s="957" t="s">
        <v>461</v>
      </c>
      <c r="D62" s="349">
        <v>1</v>
      </c>
      <c r="E62" s="391">
        <v>3055425</v>
      </c>
      <c r="F62" s="349">
        <v>1</v>
      </c>
      <c r="G62" s="350">
        <f>D62*E62/F62</f>
        <v>3055425</v>
      </c>
      <c r="I62" s="399"/>
    </row>
    <row r="63" spans="1:9" ht="15.75" thickTop="1" x14ac:dyDescent="0.25">
      <c r="B63" s="302"/>
      <c r="C63" s="958"/>
      <c r="D63" s="300"/>
      <c r="E63" s="304"/>
      <c r="F63" s="300"/>
      <c r="G63" s="350"/>
    </row>
    <row r="64" spans="1:9" x14ac:dyDescent="0.25">
      <c r="B64" s="305"/>
      <c r="C64" s="310"/>
      <c r="D64" s="300"/>
      <c r="E64" s="301"/>
      <c r="F64" s="300"/>
      <c r="G64" s="301"/>
    </row>
    <row r="65" spans="2:7" ht="15.75" thickBot="1" x14ac:dyDescent="0.3">
      <c r="B65" s="297"/>
      <c r="C65" s="298"/>
      <c r="D65" s="299"/>
      <c r="E65" s="292"/>
      <c r="F65" s="300"/>
      <c r="G65" s="301"/>
    </row>
    <row r="66" spans="2:7" ht="16.5" thickTop="1" thickBot="1" x14ac:dyDescent="0.3">
      <c r="F66" s="314" t="s">
        <v>398</v>
      </c>
      <c r="G66" s="315">
        <f>SUM(G62:G65)</f>
        <v>3055425</v>
      </c>
    </row>
    <row r="67" spans="2:7" ht="16.5" thickTop="1" thickBot="1" x14ac:dyDescent="0.3"/>
    <row r="68" spans="2:7" ht="16.5" thickTop="1" thickBot="1" x14ac:dyDescent="0.3">
      <c r="B68" s="317" t="s">
        <v>192</v>
      </c>
      <c r="C68" s="937" t="s">
        <v>399</v>
      </c>
      <c r="D68" s="938"/>
      <c r="E68" s="938"/>
      <c r="F68" s="938"/>
      <c r="G68" s="939"/>
    </row>
    <row r="69" spans="2:7" ht="15.75" thickTop="1" x14ac:dyDescent="0.25">
      <c r="B69" s="318"/>
      <c r="C69" s="290"/>
      <c r="D69" s="290"/>
      <c r="E69" s="290"/>
      <c r="F69" s="290" t="s">
        <v>122</v>
      </c>
      <c r="G69" s="290" t="s">
        <v>122</v>
      </c>
    </row>
    <row r="70" spans="2:7" x14ac:dyDescent="0.25">
      <c r="B70" s="319"/>
      <c r="C70" s="294" t="s">
        <v>8</v>
      </c>
      <c r="D70" s="294" t="s">
        <v>169</v>
      </c>
      <c r="E70" s="294" t="s">
        <v>0</v>
      </c>
      <c r="F70" s="294" t="s">
        <v>400</v>
      </c>
      <c r="G70" s="294" t="s">
        <v>392</v>
      </c>
    </row>
    <row r="71" spans="2:7" ht="15.75" thickBot="1" x14ac:dyDescent="0.3">
      <c r="B71" s="320"/>
      <c r="C71" s="295"/>
      <c r="D71" s="321"/>
      <c r="E71" s="296" t="s">
        <v>401</v>
      </c>
      <c r="F71" s="296" t="s">
        <v>402</v>
      </c>
      <c r="G71" s="296" t="s">
        <v>403</v>
      </c>
    </row>
    <row r="72" spans="2:7" ht="16.5" thickTop="1" thickBot="1" x14ac:dyDescent="0.3">
      <c r="B72" s="322" t="s">
        <v>289</v>
      </c>
      <c r="C72" s="306" t="s">
        <v>462</v>
      </c>
      <c r="D72" s="307" t="s">
        <v>463</v>
      </c>
      <c r="E72" s="307">
        <v>1</v>
      </c>
      <c r="F72" s="308">
        <v>549163</v>
      </c>
      <c r="G72" s="308">
        <f>E72*F72</f>
        <v>549163</v>
      </c>
    </row>
    <row r="73" spans="2:7" ht="15.75" thickTop="1" x14ac:dyDescent="0.25">
      <c r="B73" s="323" t="s">
        <v>291</v>
      </c>
      <c r="C73" s="324" t="s">
        <v>451</v>
      </c>
      <c r="D73" s="325" t="s">
        <v>429</v>
      </c>
      <c r="E73" s="325">
        <v>1</v>
      </c>
      <c r="F73" s="326">
        <v>175114</v>
      </c>
      <c r="G73" s="308">
        <f>E73*F73</f>
        <v>175114</v>
      </c>
    </row>
    <row r="74" spans="2:7" x14ac:dyDescent="0.25">
      <c r="D74" s="934" t="s">
        <v>404</v>
      </c>
      <c r="E74" s="934"/>
      <c r="F74" s="335"/>
      <c r="G74" s="336"/>
    </row>
    <row r="75" spans="2:7" x14ac:dyDescent="0.25">
      <c r="D75" s="935" t="s">
        <v>405</v>
      </c>
      <c r="E75" s="935"/>
      <c r="F75" s="337"/>
      <c r="G75" s="338"/>
    </row>
    <row r="76" spans="2:7" ht="15.75" thickBot="1" x14ac:dyDescent="0.3">
      <c r="D76" s="936" t="s">
        <v>406</v>
      </c>
      <c r="E76" s="936"/>
      <c r="F76" s="339"/>
      <c r="G76" s="292">
        <f>SUM(G72:G73)</f>
        <v>724277</v>
      </c>
    </row>
    <row r="77" spans="2:7" ht="16.5" thickTop="1" thickBot="1" x14ac:dyDescent="0.3"/>
    <row r="78" spans="2:7" ht="16.5" thickTop="1" thickBot="1" x14ac:dyDescent="0.3">
      <c r="B78" s="290" t="s">
        <v>407</v>
      </c>
      <c r="C78" s="937" t="s">
        <v>408</v>
      </c>
      <c r="D78" s="938"/>
      <c r="E78" s="938"/>
      <c r="F78" s="938"/>
      <c r="G78" s="939"/>
    </row>
    <row r="79" spans="2:7" ht="15.75" thickTop="1" x14ac:dyDescent="0.25">
      <c r="B79" s="291"/>
      <c r="C79" s="290"/>
      <c r="D79" s="290"/>
      <c r="E79" s="290" t="s">
        <v>52</v>
      </c>
      <c r="F79" s="290" t="s">
        <v>388</v>
      </c>
      <c r="G79" s="290" t="s">
        <v>122</v>
      </c>
    </row>
    <row r="80" spans="2:7" x14ac:dyDescent="0.25">
      <c r="B80" s="293"/>
      <c r="C80" s="294" t="s">
        <v>8</v>
      </c>
      <c r="D80" s="294" t="s">
        <v>389</v>
      </c>
      <c r="E80" s="294" t="s">
        <v>409</v>
      </c>
      <c r="F80" s="294" t="s">
        <v>391</v>
      </c>
      <c r="G80" s="294" t="s">
        <v>392</v>
      </c>
    </row>
    <row r="81" spans="2:10" ht="15.75" thickBot="1" x14ac:dyDescent="0.3">
      <c r="B81" s="295"/>
      <c r="C81" s="295"/>
      <c r="D81" s="296" t="s">
        <v>410</v>
      </c>
      <c r="E81" s="296" t="s">
        <v>411</v>
      </c>
      <c r="F81" s="296" t="s">
        <v>412</v>
      </c>
      <c r="G81" s="296" t="s">
        <v>413</v>
      </c>
    </row>
    <row r="82" spans="2:10" ht="16.5" thickTop="1" thickBot="1" x14ac:dyDescent="0.3">
      <c r="B82" s="345" t="s">
        <v>296</v>
      </c>
      <c r="C82" s="346" t="s">
        <v>430</v>
      </c>
      <c r="D82" s="342">
        <v>1</v>
      </c>
      <c r="E82" s="326">
        <v>136523</v>
      </c>
      <c r="F82" s="325">
        <v>1</v>
      </c>
      <c r="G82" s="326">
        <f>D82*E82/F82</f>
        <v>136523</v>
      </c>
    </row>
    <row r="83" spans="2:10" ht="16.5" thickTop="1" thickBot="1" x14ac:dyDescent="0.3">
      <c r="B83" s="340" t="s">
        <v>298</v>
      </c>
      <c r="C83" s="341" t="s">
        <v>414</v>
      </c>
      <c r="D83" s="342">
        <v>3</v>
      </c>
      <c r="E83" s="326">
        <v>48802</v>
      </c>
      <c r="F83" s="325">
        <v>1</v>
      </c>
      <c r="G83" s="326">
        <f>D83*E83/F83</f>
        <v>146406</v>
      </c>
    </row>
    <row r="84" spans="2:10" ht="16.5" thickTop="1" thickBot="1" x14ac:dyDescent="0.3">
      <c r="F84" s="314" t="s">
        <v>398</v>
      </c>
      <c r="G84" s="315">
        <f>SUM(G82:G83)</f>
        <v>282929</v>
      </c>
    </row>
    <row r="85" spans="2:10" ht="16.5" thickTop="1" thickBot="1" x14ac:dyDescent="0.3">
      <c r="I85" s="313"/>
    </row>
    <row r="86" spans="2:10" ht="16.5" thickTop="1" thickBot="1" x14ac:dyDescent="0.3">
      <c r="B86" s="290" t="s">
        <v>303</v>
      </c>
      <c r="C86" s="937" t="s">
        <v>416</v>
      </c>
      <c r="D86" s="938"/>
      <c r="E86" s="938"/>
      <c r="F86" s="938"/>
      <c r="G86" s="939"/>
    </row>
    <row r="87" spans="2:10" ht="15.75" thickTop="1" x14ac:dyDescent="0.25">
      <c r="B87" s="291"/>
      <c r="C87" s="290"/>
      <c r="D87" s="290"/>
      <c r="E87" s="290"/>
      <c r="F87" s="290"/>
      <c r="G87" s="290" t="s">
        <v>122</v>
      </c>
    </row>
    <row r="88" spans="2:10" x14ac:dyDescent="0.25">
      <c r="B88" s="293"/>
      <c r="C88" s="294" t="s">
        <v>8</v>
      </c>
      <c r="D88" s="294" t="s">
        <v>389</v>
      </c>
      <c r="E88" s="294" t="s">
        <v>182</v>
      </c>
      <c r="F88" s="294" t="s">
        <v>388</v>
      </c>
      <c r="G88" s="294" t="s">
        <v>392</v>
      </c>
    </row>
    <row r="89" spans="2:10" ht="15.75" thickBot="1" x14ac:dyDescent="0.3">
      <c r="B89" s="295"/>
      <c r="C89" s="295"/>
      <c r="D89" s="296" t="s">
        <v>417</v>
      </c>
      <c r="E89" s="296" t="s">
        <v>418</v>
      </c>
      <c r="F89" s="296" t="s">
        <v>419</v>
      </c>
      <c r="G89" s="296" t="s">
        <v>420</v>
      </c>
    </row>
    <row r="90" spans="2:10" ht="15.75" thickTop="1" x14ac:dyDescent="0.25">
      <c r="B90" s="347" t="s">
        <v>306</v>
      </c>
      <c r="C90" s="348" t="s">
        <v>448</v>
      </c>
      <c r="D90" s="349">
        <v>1</v>
      </c>
      <c r="E90" s="350">
        <v>60000</v>
      </c>
      <c r="F90" s="349">
        <v>1</v>
      </c>
      <c r="G90" s="326">
        <f>D90*E90/F90</f>
        <v>60000</v>
      </c>
    </row>
    <row r="91" spans="2:10" ht="15.75" thickBot="1" x14ac:dyDescent="0.3">
      <c r="B91" s="331"/>
      <c r="C91" s="351"/>
      <c r="D91" s="299"/>
      <c r="E91" s="299"/>
      <c r="F91" s="299"/>
      <c r="G91" s="292"/>
      <c r="J91" s="316"/>
    </row>
    <row r="92" spans="2:10" ht="16.5" thickTop="1" thickBot="1" x14ac:dyDescent="0.3">
      <c r="F92" s="314" t="s">
        <v>398</v>
      </c>
      <c r="G92" s="315">
        <f>SUM(G90:G91)</f>
        <v>60000</v>
      </c>
    </row>
    <row r="93" spans="2:10" ht="16.5" thickTop="1" thickBot="1" x14ac:dyDescent="0.3">
      <c r="G93" s="269"/>
      <c r="I93" s="313"/>
      <c r="J93" s="313"/>
    </row>
    <row r="94" spans="2:10" ht="16.5" thickTop="1" thickBot="1" x14ac:dyDescent="0.3">
      <c r="B94" s="930" t="s">
        <v>422</v>
      </c>
      <c r="C94" s="931"/>
      <c r="D94" s="931"/>
      <c r="E94" s="931"/>
      <c r="F94" s="352"/>
      <c r="G94" s="353">
        <f>G66+G76+G84+G92</f>
        <v>4122631</v>
      </c>
    </row>
    <row r="95" spans="2:10" ht="16.5" thickTop="1" thickBot="1" x14ac:dyDescent="0.3">
      <c r="B95" s="930" t="s">
        <v>423</v>
      </c>
      <c r="C95" s="931"/>
      <c r="D95" s="931"/>
      <c r="E95" s="931"/>
      <c r="F95" s="354">
        <v>0</v>
      </c>
      <c r="G95" s="355"/>
    </row>
    <row r="96" spans="2:10" ht="16.5" thickTop="1" thickBot="1" x14ac:dyDescent="0.3">
      <c r="B96" s="356" t="s">
        <v>424</v>
      </c>
      <c r="C96" s="357"/>
      <c r="D96" s="357"/>
      <c r="E96" s="357"/>
      <c r="F96" s="358"/>
      <c r="G96" s="359">
        <f>G94</f>
        <v>4122631</v>
      </c>
      <c r="I96" s="360"/>
    </row>
    <row r="97" spans="1:8" ht="15.75" thickTop="1" x14ac:dyDescent="0.25">
      <c r="B97" s="376"/>
      <c r="C97" s="376"/>
      <c r="D97" s="376"/>
      <c r="E97" s="376"/>
      <c r="F97" s="377"/>
      <c r="G97" s="378"/>
    </row>
    <row r="98" spans="1:8" x14ac:dyDescent="0.25">
      <c r="B98" s="376"/>
      <c r="C98" s="362" t="s">
        <v>425</v>
      </c>
      <c r="G98" s="378"/>
    </row>
    <row r="99" spans="1:8" ht="12" customHeight="1" thickBot="1" x14ac:dyDescent="0.3">
      <c r="B99" s="376"/>
      <c r="C99" s="932" t="s">
        <v>621</v>
      </c>
      <c r="D99" s="932"/>
      <c r="E99" s="932"/>
      <c r="F99" s="932"/>
      <c r="G99" s="378"/>
    </row>
    <row r="100" spans="1:8" ht="15.75" thickTop="1" x14ac:dyDescent="0.25">
      <c r="A100" s="940" t="s">
        <v>378</v>
      </c>
      <c r="B100" s="941"/>
      <c r="C100" s="941"/>
      <c r="D100" s="941"/>
      <c r="E100" s="941"/>
      <c r="F100" s="941"/>
      <c r="G100" s="941"/>
      <c r="H100" s="942"/>
    </row>
    <row r="101" spans="1:8" x14ac:dyDescent="0.25">
      <c r="A101" s="943" t="s">
        <v>379</v>
      </c>
      <c r="B101" s="944"/>
      <c r="C101" s="944"/>
      <c r="D101" s="944"/>
      <c r="E101" s="944"/>
      <c r="F101" s="944"/>
      <c r="G101" s="944"/>
      <c r="H101" s="945"/>
    </row>
    <row r="102" spans="1:8" ht="15.75" thickBot="1" x14ac:dyDescent="0.3">
      <c r="A102" s="946" t="s">
        <v>261</v>
      </c>
      <c r="B102" s="947"/>
      <c r="C102" s="947"/>
      <c r="D102" s="947"/>
      <c r="E102" s="947"/>
      <c r="F102" s="947"/>
      <c r="G102" s="947"/>
      <c r="H102" s="948"/>
    </row>
    <row r="103" spans="1:8" ht="16.5" thickTop="1" thickBot="1" x14ac:dyDescent="0.3">
      <c r="A103" s="949" t="s">
        <v>30</v>
      </c>
      <c r="B103" s="950"/>
      <c r="C103" s="950"/>
      <c r="D103" s="950"/>
      <c r="E103" s="950"/>
      <c r="F103" s="950"/>
      <c r="G103" s="950"/>
      <c r="H103" s="951"/>
    </row>
    <row r="104" spans="1:8" ht="15.75" thickTop="1" x14ac:dyDescent="0.25">
      <c r="A104" s="277" t="s">
        <v>380</v>
      </c>
      <c r="B104" s="952" t="s">
        <v>460</v>
      </c>
      <c r="C104" s="952"/>
      <c r="D104" s="952"/>
      <c r="E104" s="952"/>
      <c r="F104" s="952"/>
      <c r="G104" s="278"/>
      <c r="H104" s="279"/>
    </row>
    <row r="105" spans="1:8" x14ac:dyDescent="0.25">
      <c r="A105" s="280" t="s">
        <v>382</v>
      </c>
      <c r="B105" s="281" t="s">
        <v>407</v>
      </c>
      <c r="C105" s="281" t="s">
        <v>456</v>
      </c>
      <c r="D105" s="281"/>
      <c r="E105" s="282"/>
      <c r="F105" s="283" t="s">
        <v>383</v>
      </c>
      <c r="G105" s="284" t="s">
        <v>302</v>
      </c>
      <c r="H105" s="285"/>
    </row>
    <row r="106" spans="1:8" ht="47.25" customHeight="1" thickBot="1" x14ac:dyDescent="0.3">
      <c r="A106" s="286" t="s">
        <v>384</v>
      </c>
      <c r="B106" s="287" t="s">
        <v>300</v>
      </c>
      <c r="C106" s="953" t="s">
        <v>464</v>
      </c>
      <c r="D106" s="953"/>
      <c r="E106" s="953"/>
      <c r="F106" s="288" t="s">
        <v>385</v>
      </c>
      <c r="G106" s="287" t="s">
        <v>620</v>
      </c>
      <c r="H106" s="289"/>
    </row>
    <row r="107" spans="1:8" ht="16.5" thickTop="1" thickBot="1" x14ac:dyDescent="0.3"/>
    <row r="108" spans="1:8" ht="16.5" thickTop="1" thickBot="1" x14ac:dyDescent="0.3">
      <c r="B108" s="290" t="s">
        <v>183</v>
      </c>
      <c r="C108" s="937" t="s">
        <v>386</v>
      </c>
      <c r="D108" s="938"/>
      <c r="E108" s="938"/>
      <c r="F108" s="938"/>
      <c r="G108" s="939"/>
    </row>
    <row r="109" spans="1:8" ht="15.75" thickTop="1" x14ac:dyDescent="0.25">
      <c r="B109" s="291"/>
      <c r="C109" s="290"/>
      <c r="D109" s="290"/>
      <c r="E109" s="290" t="s">
        <v>387</v>
      </c>
      <c r="F109" s="290" t="s">
        <v>388</v>
      </c>
      <c r="G109" s="290" t="s">
        <v>122</v>
      </c>
    </row>
    <row r="110" spans="1:8" x14ac:dyDescent="0.25">
      <c r="B110" s="293"/>
      <c r="C110" s="294" t="s">
        <v>8</v>
      </c>
      <c r="D110" s="294" t="s">
        <v>389</v>
      </c>
      <c r="E110" s="294" t="s">
        <v>390</v>
      </c>
      <c r="F110" s="294" t="s">
        <v>391</v>
      </c>
      <c r="G110" s="294" t="s">
        <v>392</v>
      </c>
    </row>
    <row r="111" spans="1:8" ht="15.75" thickBot="1" x14ac:dyDescent="0.3">
      <c r="B111" s="295"/>
      <c r="C111" s="295"/>
      <c r="D111" s="296" t="s">
        <v>393</v>
      </c>
      <c r="E111" s="296" t="s">
        <v>394</v>
      </c>
      <c r="F111" s="296" t="s">
        <v>395</v>
      </c>
      <c r="G111" s="296" t="s">
        <v>396</v>
      </c>
    </row>
    <row r="112" spans="1:8" ht="16.5" thickTop="1" thickBot="1" x14ac:dyDescent="0.3">
      <c r="B112" s="297" t="s">
        <v>449</v>
      </c>
      <c r="C112" s="957" t="s">
        <v>465</v>
      </c>
      <c r="D112" s="299">
        <v>1</v>
      </c>
      <c r="E112" s="292">
        <v>1900381</v>
      </c>
      <c r="F112" s="300">
        <v>1</v>
      </c>
      <c r="G112" s="301">
        <f>D112*E112/F112</f>
        <v>1900381</v>
      </c>
    </row>
    <row r="113" spans="2:9" ht="16.5" thickTop="1" thickBot="1" x14ac:dyDescent="0.3">
      <c r="B113" s="297"/>
      <c r="C113" s="959"/>
      <c r="D113" s="299"/>
      <c r="E113" s="292"/>
      <c r="F113" s="292"/>
      <c r="G113" s="301"/>
      <c r="I113" s="399"/>
    </row>
    <row r="114" spans="2:9" ht="16.5" thickTop="1" thickBot="1" x14ac:dyDescent="0.3">
      <c r="F114" s="314" t="s">
        <v>398</v>
      </c>
      <c r="G114" s="315">
        <f>SUM(G112:G113)</f>
        <v>1900381</v>
      </c>
    </row>
    <row r="115" spans="2:9" ht="16.5" thickTop="1" thickBot="1" x14ac:dyDescent="0.3"/>
    <row r="116" spans="2:9" ht="16.5" thickTop="1" thickBot="1" x14ac:dyDescent="0.3">
      <c r="B116" s="317" t="s">
        <v>192</v>
      </c>
      <c r="C116" s="933" t="s">
        <v>399</v>
      </c>
      <c r="D116" s="933"/>
      <c r="E116" s="933"/>
      <c r="F116" s="933"/>
      <c r="G116" s="933"/>
    </row>
    <row r="117" spans="2:9" ht="15.75" thickTop="1" x14ac:dyDescent="0.25">
      <c r="B117" s="318"/>
      <c r="C117" s="290"/>
      <c r="D117" s="290"/>
      <c r="E117" s="290"/>
      <c r="F117" s="290" t="s">
        <v>122</v>
      </c>
      <c r="G117" s="290" t="s">
        <v>122</v>
      </c>
      <c r="I117" s="313"/>
    </row>
    <row r="118" spans="2:9" x14ac:dyDescent="0.25">
      <c r="B118" s="319"/>
      <c r="C118" s="294" t="s">
        <v>8</v>
      </c>
      <c r="D118" s="294" t="s">
        <v>169</v>
      </c>
      <c r="E118" s="294" t="s">
        <v>0</v>
      </c>
      <c r="F118" s="294" t="s">
        <v>400</v>
      </c>
      <c r="G118" s="294" t="s">
        <v>392</v>
      </c>
    </row>
    <row r="119" spans="2:9" ht="15.75" thickBot="1" x14ac:dyDescent="0.3">
      <c r="B119" s="320"/>
      <c r="C119" s="295"/>
      <c r="D119" s="321"/>
      <c r="E119" s="296" t="s">
        <v>401</v>
      </c>
      <c r="F119" s="296" t="s">
        <v>402</v>
      </c>
      <c r="G119" s="296" t="s">
        <v>403</v>
      </c>
    </row>
    <row r="120" spans="2:9" ht="16.5" thickTop="1" thickBot="1" x14ac:dyDescent="0.3">
      <c r="B120" s="322" t="s">
        <v>289</v>
      </c>
      <c r="C120" s="306" t="s">
        <v>459</v>
      </c>
      <c r="D120" s="307" t="s">
        <v>463</v>
      </c>
      <c r="E120" s="307">
        <v>1</v>
      </c>
      <c r="F120" s="308">
        <v>549163</v>
      </c>
      <c r="G120" s="308">
        <f>E120*F120</f>
        <v>549163</v>
      </c>
    </row>
    <row r="121" spans="2:9" ht="15.75" thickTop="1" x14ac:dyDescent="0.25">
      <c r="B121" s="323" t="s">
        <v>291</v>
      </c>
      <c r="C121" s="324" t="s">
        <v>451</v>
      </c>
      <c r="D121" s="325" t="s">
        <v>429</v>
      </c>
      <c r="E121" s="325">
        <v>1</v>
      </c>
      <c r="F121" s="326">
        <v>175114</v>
      </c>
      <c r="G121" s="308">
        <f>E121*F121</f>
        <v>175114</v>
      </c>
    </row>
    <row r="122" spans="2:9" x14ac:dyDescent="0.25">
      <c r="D122" s="934" t="s">
        <v>404</v>
      </c>
      <c r="E122" s="934"/>
      <c r="F122" s="335"/>
      <c r="G122" s="336"/>
    </row>
    <row r="123" spans="2:9" x14ac:dyDescent="0.25">
      <c r="D123" s="935" t="s">
        <v>405</v>
      </c>
      <c r="E123" s="935"/>
      <c r="F123" s="337"/>
      <c r="G123" s="338"/>
    </row>
    <row r="124" spans="2:9" ht="15.75" thickBot="1" x14ac:dyDescent="0.3">
      <c r="D124" s="936" t="s">
        <v>406</v>
      </c>
      <c r="E124" s="936"/>
      <c r="F124" s="339"/>
      <c r="G124" s="292">
        <f>SUM(G120:G121)</f>
        <v>724277</v>
      </c>
    </row>
    <row r="125" spans="2:9" ht="16.5" thickTop="1" thickBot="1" x14ac:dyDescent="0.3"/>
    <row r="126" spans="2:9" ht="16.5" thickTop="1" thickBot="1" x14ac:dyDescent="0.3">
      <c r="B126" s="290" t="s">
        <v>407</v>
      </c>
      <c r="C126" s="933" t="s">
        <v>408</v>
      </c>
      <c r="D126" s="933"/>
      <c r="E126" s="933"/>
      <c r="F126" s="933"/>
      <c r="G126" s="933"/>
    </row>
    <row r="127" spans="2:9" ht="15.75" thickTop="1" x14ac:dyDescent="0.25">
      <c r="B127" s="291"/>
      <c r="C127" s="290"/>
      <c r="D127" s="290"/>
      <c r="E127" s="290" t="s">
        <v>52</v>
      </c>
      <c r="F127" s="290" t="s">
        <v>388</v>
      </c>
      <c r="G127" s="290" t="s">
        <v>122</v>
      </c>
    </row>
    <row r="128" spans="2:9" x14ac:dyDescent="0.25">
      <c r="B128" s="293"/>
      <c r="C128" s="294" t="s">
        <v>8</v>
      </c>
      <c r="D128" s="294" t="s">
        <v>389</v>
      </c>
      <c r="E128" s="294" t="s">
        <v>409</v>
      </c>
      <c r="F128" s="294" t="s">
        <v>391</v>
      </c>
      <c r="G128" s="294" t="s">
        <v>392</v>
      </c>
    </row>
    <row r="129" spans="2:10" ht="15.75" thickBot="1" x14ac:dyDescent="0.3">
      <c r="B129" s="295"/>
      <c r="C129" s="295"/>
      <c r="D129" s="296" t="s">
        <v>410</v>
      </c>
      <c r="E129" s="296" t="s">
        <v>411</v>
      </c>
      <c r="F129" s="296" t="s">
        <v>412</v>
      </c>
      <c r="G129" s="296" t="s">
        <v>413</v>
      </c>
    </row>
    <row r="130" spans="2:10" ht="16.5" thickTop="1" thickBot="1" x14ac:dyDescent="0.3">
      <c r="B130" s="345" t="s">
        <v>296</v>
      </c>
      <c r="C130" s="346" t="s">
        <v>430</v>
      </c>
      <c r="D130" s="342">
        <v>1</v>
      </c>
      <c r="E130" s="326">
        <v>136523</v>
      </c>
      <c r="F130" s="325">
        <v>1</v>
      </c>
      <c r="G130" s="326">
        <f>D130*E130/F130</f>
        <v>136523</v>
      </c>
    </row>
    <row r="131" spans="2:10" ht="16.5" thickTop="1" thickBot="1" x14ac:dyDescent="0.3">
      <c r="B131" s="340" t="s">
        <v>298</v>
      </c>
      <c r="C131" s="341" t="s">
        <v>414</v>
      </c>
      <c r="D131" s="342">
        <v>3</v>
      </c>
      <c r="E131" s="326">
        <v>48802</v>
      </c>
      <c r="F131" s="325">
        <v>1</v>
      </c>
      <c r="G131" s="326">
        <f>D131*E131/F131</f>
        <v>146406</v>
      </c>
    </row>
    <row r="132" spans="2:10" ht="16.5" thickTop="1" thickBot="1" x14ac:dyDescent="0.3">
      <c r="F132" s="314" t="s">
        <v>398</v>
      </c>
      <c r="G132" s="315">
        <f>SUM(G130:G131)</f>
        <v>282929</v>
      </c>
    </row>
    <row r="133" spans="2:10" ht="16.5" thickTop="1" thickBot="1" x14ac:dyDescent="0.3">
      <c r="I133" s="313"/>
      <c r="J133" s="313"/>
    </row>
    <row r="134" spans="2:10" ht="16.5" thickTop="1" thickBot="1" x14ac:dyDescent="0.3">
      <c r="B134" s="290" t="s">
        <v>303</v>
      </c>
      <c r="C134" s="933" t="s">
        <v>416</v>
      </c>
      <c r="D134" s="933"/>
      <c r="E134" s="933"/>
      <c r="F134" s="933"/>
      <c r="G134" s="933"/>
    </row>
    <row r="135" spans="2:10" ht="15.75" thickTop="1" x14ac:dyDescent="0.25">
      <c r="B135" s="291"/>
      <c r="C135" s="290"/>
      <c r="D135" s="290"/>
      <c r="E135" s="290"/>
      <c r="F135" s="290"/>
      <c r="G135" s="290" t="s">
        <v>122</v>
      </c>
    </row>
    <row r="136" spans="2:10" x14ac:dyDescent="0.25">
      <c r="B136" s="293"/>
      <c r="C136" s="294" t="s">
        <v>8</v>
      </c>
      <c r="D136" s="294" t="s">
        <v>389</v>
      </c>
      <c r="E136" s="294" t="s">
        <v>182</v>
      </c>
      <c r="F136" s="294" t="s">
        <v>388</v>
      </c>
      <c r="G136" s="294" t="s">
        <v>392</v>
      </c>
      <c r="J136" s="398"/>
    </row>
    <row r="137" spans="2:10" ht="15.75" thickBot="1" x14ac:dyDescent="0.3">
      <c r="B137" s="295"/>
      <c r="C137" s="295"/>
      <c r="D137" s="296" t="s">
        <v>417</v>
      </c>
      <c r="E137" s="296" t="s">
        <v>418</v>
      </c>
      <c r="F137" s="296" t="s">
        <v>419</v>
      </c>
      <c r="G137" s="296" t="s">
        <v>420</v>
      </c>
    </row>
    <row r="138" spans="2:10" ht="16.5" thickTop="1" thickBot="1" x14ac:dyDescent="0.3">
      <c r="B138" s="347" t="s">
        <v>306</v>
      </c>
      <c r="C138" s="348" t="s">
        <v>448</v>
      </c>
      <c r="D138" s="349">
        <v>1</v>
      </c>
      <c r="E138" s="350">
        <v>60000</v>
      </c>
      <c r="F138" s="349">
        <v>1</v>
      </c>
      <c r="G138" s="326">
        <f>D138*E138/F138</f>
        <v>60000</v>
      </c>
    </row>
    <row r="139" spans="2:10" ht="16.5" thickTop="1" thickBot="1" x14ac:dyDescent="0.3">
      <c r="F139" s="314" t="s">
        <v>398</v>
      </c>
      <c r="G139" s="315">
        <f>SUM(G138:G138)</f>
        <v>60000</v>
      </c>
    </row>
    <row r="140" spans="2:10" ht="16.5" thickTop="1" thickBot="1" x14ac:dyDescent="0.3">
      <c r="G140" s="269"/>
      <c r="I140" s="313"/>
    </row>
    <row r="141" spans="2:10" ht="16.5" thickTop="1" thickBot="1" x14ac:dyDescent="0.3">
      <c r="B141" s="928" t="s">
        <v>422</v>
      </c>
      <c r="C141" s="929"/>
      <c r="D141" s="929"/>
      <c r="E141" s="929"/>
      <c r="F141" s="352"/>
      <c r="G141" s="353">
        <f>G114+G124+G132+G139</f>
        <v>2967587</v>
      </c>
    </row>
    <row r="142" spans="2:10" ht="16.5" thickTop="1" thickBot="1" x14ac:dyDescent="0.3">
      <c r="B142" s="930" t="s">
        <v>423</v>
      </c>
      <c r="C142" s="931"/>
      <c r="D142" s="931"/>
      <c r="E142" s="931"/>
      <c r="F142" s="354">
        <v>0</v>
      </c>
      <c r="G142" s="355"/>
    </row>
    <row r="143" spans="2:10" ht="16.5" thickTop="1" thickBot="1" x14ac:dyDescent="0.3">
      <c r="B143" s="356" t="s">
        <v>424</v>
      </c>
      <c r="C143" s="357"/>
      <c r="D143" s="357"/>
      <c r="E143" s="357"/>
      <c r="F143" s="358"/>
      <c r="G143" s="359">
        <f>G141</f>
        <v>2967587</v>
      </c>
    </row>
    <row r="144" spans="2:10" ht="15.75" thickTop="1" x14ac:dyDescent="0.25">
      <c r="B144" s="376"/>
      <c r="C144" s="376"/>
      <c r="D144" s="376"/>
      <c r="E144" s="376"/>
      <c r="F144" s="377"/>
      <c r="G144" s="378"/>
    </row>
    <row r="145" spans="2:7" x14ac:dyDescent="0.25">
      <c r="B145" s="376"/>
      <c r="C145" s="362" t="s">
        <v>425</v>
      </c>
      <c r="G145" s="378"/>
    </row>
    <row r="146" spans="2:7" ht="12.75" customHeight="1" x14ac:dyDescent="0.25">
      <c r="B146" s="376"/>
      <c r="C146" s="932" t="s">
        <v>621</v>
      </c>
      <c r="D146" s="932"/>
      <c r="E146" s="932"/>
      <c r="F146" s="932"/>
      <c r="G146" s="378"/>
    </row>
  </sheetData>
  <mergeCells count="52">
    <mergeCell ref="C7:E7"/>
    <mergeCell ref="A1:H1"/>
    <mergeCell ref="A2:H2"/>
    <mergeCell ref="A3:H3"/>
    <mergeCell ref="A4:H4"/>
    <mergeCell ref="B5:F5"/>
    <mergeCell ref="A50:H50"/>
    <mergeCell ref="C9:G9"/>
    <mergeCell ref="C13:C14"/>
    <mergeCell ref="C19:G19"/>
    <mergeCell ref="D25:E25"/>
    <mergeCell ref="D26:E26"/>
    <mergeCell ref="D27:E27"/>
    <mergeCell ref="C29:G29"/>
    <mergeCell ref="C37:G37"/>
    <mergeCell ref="B43:E43"/>
    <mergeCell ref="B44:E44"/>
    <mergeCell ref="C48:F48"/>
    <mergeCell ref="D76:E76"/>
    <mergeCell ref="A51:H51"/>
    <mergeCell ref="A52:H52"/>
    <mergeCell ref="A53:H53"/>
    <mergeCell ref="B54:F54"/>
    <mergeCell ref="C55:E55"/>
    <mergeCell ref="C56:E56"/>
    <mergeCell ref="C58:G58"/>
    <mergeCell ref="C62:C63"/>
    <mergeCell ref="C68:G68"/>
    <mergeCell ref="D74:E74"/>
    <mergeCell ref="D75:E75"/>
    <mergeCell ref="C108:G108"/>
    <mergeCell ref="C78:G78"/>
    <mergeCell ref="C86:G86"/>
    <mergeCell ref="B94:E94"/>
    <mergeCell ref="B95:E95"/>
    <mergeCell ref="C99:F99"/>
    <mergeCell ref="A100:H100"/>
    <mergeCell ref="A101:H101"/>
    <mergeCell ref="A102:H102"/>
    <mergeCell ref="A103:H103"/>
    <mergeCell ref="B104:F104"/>
    <mergeCell ref="C106:E106"/>
    <mergeCell ref="C134:G134"/>
    <mergeCell ref="B141:E141"/>
    <mergeCell ref="B142:E142"/>
    <mergeCell ref="C146:F146"/>
    <mergeCell ref="C112:C113"/>
    <mergeCell ref="C116:G116"/>
    <mergeCell ref="D122:E122"/>
    <mergeCell ref="D123:E123"/>
    <mergeCell ref="D124:E124"/>
    <mergeCell ref="C126:G126"/>
  </mergeCells>
  <pageMargins left="0.7" right="0.7" top="0.75" bottom="0.75" header="0.3" footer="0.3"/>
  <pageSetup scale="8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371"/>
  <sheetViews>
    <sheetView topLeftCell="A397" workbookViewId="0">
      <selection activeCell="C371" sqref="C371:F371"/>
    </sheetView>
  </sheetViews>
  <sheetFormatPr baseColWidth="10" defaultRowHeight="15" x14ac:dyDescent="0.25"/>
  <cols>
    <col min="1" max="2" width="11.42578125" style="5"/>
    <col min="3" max="3" width="29.7109375" style="5" customWidth="1"/>
    <col min="4" max="6" width="11.42578125" style="5"/>
    <col min="7" max="7" width="12" style="5" customWidth="1"/>
    <col min="8" max="8" width="11.42578125" style="5"/>
    <col min="9" max="9" width="12.140625" style="5" bestFit="1" customWidth="1"/>
    <col min="10" max="16384" width="11.42578125" style="5"/>
  </cols>
  <sheetData>
    <row r="1" spans="1:8" ht="15.75" thickTop="1" x14ac:dyDescent="0.25">
      <c r="A1" s="940" t="s">
        <v>378</v>
      </c>
      <c r="B1" s="941"/>
      <c r="C1" s="941"/>
      <c r="D1" s="941"/>
      <c r="E1" s="941"/>
      <c r="F1" s="941"/>
      <c r="G1" s="941"/>
      <c r="H1" s="942"/>
    </row>
    <row r="2" spans="1:8" x14ac:dyDescent="0.25">
      <c r="A2" s="943" t="s">
        <v>379</v>
      </c>
      <c r="B2" s="944"/>
      <c r="C2" s="944"/>
      <c r="D2" s="944"/>
      <c r="E2" s="944"/>
      <c r="F2" s="944"/>
      <c r="G2" s="944"/>
      <c r="H2" s="945"/>
    </row>
    <row r="3" spans="1:8" ht="15.75" thickBot="1" x14ac:dyDescent="0.3">
      <c r="A3" s="946" t="s">
        <v>261</v>
      </c>
      <c r="B3" s="947"/>
      <c r="C3" s="947"/>
      <c r="D3" s="947"/>
      <c r="E3" s="947"/>
      <c r="F3" s="947"/>
      <c r="G3" s="947"/>
      <c r="H3" s="948"/>
    </row>
    <row r="4" spans="1:8" ht="16.5" thickTop="1" thickBot="1" x14ac:dyDescent="0.3">
      <c r="A4" s="949" t="s">
        <v>30</v>
      </c>
      <c r="B4" s="950"/>
      <c r="C4" s="950"/>
      <c r="D4" s="950"/>
      <c r="E4" s="950"/>
      <c r="F4" s="950"/>
      <c r="G4" s="950"/>
      <c r="H4" s="951"/>
    </row>
    <row r="5" spans="1:8" ht="15.75" thickTop="1" x14ac:dyDescent="0.25">
      <c r="A5" s="277" t="s">
        <v>380</v>
      </c>
      <c r="B5" s="952" t="s">
        <v>460</v>
      </c>
      <c r="C5" s="952"/>
      <c r="D5" s="952"/>
      <c r="E5" s="952"/>
      <c r="F5" s="952"/>
      <c r="G5" s="278"/>
      <c r="H5" s="279"/>
    </row>
    <row r="6" spans="1:8" x14ac:dyDescent="0.25">
      <c r="A6" s="280" t="s">
        <v>382</v>
      </c>
      <c r="B6" s="281">
        <v>4</v>
      </c>
      <c r="C6" s="281" t="str">
        <f>'[3]REPOSICION INTERSECCION'!B25</f>
        <v>POSTES Y CABLEADO</v>
      </c>
      <c r="D6" s="281">
        <v>1</v>
      </c>
      <c r="E6" s="282"/>
      <c r="F6" s="283" t="s">
        <v>383</v>
      </c>
      <c r="G6" s="284" t="s">
        <v>169</v>
      </c>
      <c r="H6" s="285"/>
    </row>
    <row r="7" spans="1:8" ht="48" customHeight="1" thickBot="1" x14ac:dyDescent="0.3">
      <c r="A7" s="286" t="s">
        <v>384</v>
      </c>
      <c r="B7" s="287" t="s">
        <v>306</v>
      </c>
      <c r="C7" s="956" t="str">
        <f>'[3]REPOSICION INTERSECCION'!B26</f>
        <v>SUMINISTRO E INSTALACION POSTE METALICO TIPO T1 (MASTIL), 2.6 m. FABRICADO EN TUBERIA DE ACERO DE 4" Y 3", GALVANIZADO ACABADO EN PINTURA ELECTROSTÁTICA, ROJO-AMARILLO (INCLUYE TRANSPORTE).</v>
      </c>
      <c r="D7" s="956"/>
      <c r="E7" s="956"/>
      <c r="F7" s="288" t="s">
        <v>385</v>
      </c>
      <c r="G7" s="287" t="s">
        <v>620</v>
      </c>
      <c r="H7" s="289"/>
    </row>
    <row r="8" spans="1:8" ht="16.5" thickTop="1" thickBot="1" x14ac:dyDescent="0.3">
      <c r="D8" s="5">
        <v>1</v>
      </c>
    </row>
    <row r="9" spans="1:8" ht="16.5" thickTop="1" thickBot="1" x14ac:dyDescent="0.3">
      <c r="B9" s="290" t="s">
        <v>183</v>
      </c>
      <c r="C9" s="937" t="s">
        <v>386</v>
      </c>
      <c r="D9" s="938"/>
      <c r="E9" s="938"/>
      <c r="F9" s="938"/>
      <c r="G9" s="939"/>
    </row>
    <row r="10" spans="1:8" ht="15.75" thickTop="1" x14ac:dyDescent="0.25">
      <c r="B10" s="291"/>
      <c r="C10" s="290"/>
      <c r="D10" s="290">
        <v>1</v>
      </c>
      <c r="E10" s="290" t="s">
        <v>387</v>
      </c>
      <c r="F10" s="290" t="s">
        <v>388</v>
      </c>
      <c r="G10" s="290" t="s">
        <v>122</v>
      </c>
    </row>
    <row r="11" spans="1:8" x14ac:dyDescent="0.25">
      <c r="B11" s="293"/>
      <c r="C11" s="294" t="s">
        <v>8</v>
      </c>
      <c r="D11" s="294">
        <v>1</v>
      </c>
      <c r="E11" s="294" t="s">
        <v>390</v>
      </c>
      <c r="F11" s="294" t="s">
        <v>391</v>
      </c>
      <c r="G11" s="294" t="s">
        <v>392</v>
      </c>
    </row>
    <row r="12" spans="1:8" ht="15.75" thickBot="1" x14ac:dyDescent="0.3">
      <c r="B12" s="295"/>
      <c r="C12" s="295"/>
      <c r="D12" s="296">
        <v>1</v>
      </c>
      <c r="E12" s="296" t="s">
        <v>394</v>
      </c>
      <c r="F12" s="296" t="s">
        <v>395</v>
      </c>
      <c r="G12" s="296" t="s">
        <v>396</v>
      </c>
    </row>
    <row r="13" spans="1:8" ht="16.5" thickTop="1" thickBot="1" x14ac:dyDescent="0.3">
      <c r="B13" s="302" t="s">
        <v>185</v>
      </c>
      <c r="C13" s="387" t="s">
        <v>262</v>
      </c>
      <c r="D13" s="349">
        <v>1</v>
      </c>
      <c r="E13" s="292">
        <f>15318*1.16</f>
        <v>17768.879999999997</v>
      </c>
      <c r="F13" s="349">
        <v>1</v>
      </c>
      <c r="G13" s="350">
        <f>D13*E13/F13</f>
        <v>17768.879999999997</v>
      </c>
    </row>
    <row r="14" spans="1:8" ht="15.75" thickTop="1" x14ac:dyDescent="0.25">
      <c r="B14" s="302" t="s">
        <v>280</v>
      </c>
      <c r="C14" s="310" t="s">
        <v>466</v>
      </c>
      <c r="D14" s="300">
        <v>2</v>
      </c>
      <c r="E14" s="304">
        <v>150000</v>
      </c>
      <c r="F14" s="300">
        <v>4</v>
      </c>
      <c r="G14" s="350">
        <f>D14*E14/F14</f>
        <v>75000</v>
      </c>
    </row>
    <row r="15" spans="1:8" ht="15.75" thickBot="1" x14ac:dyDescent="0.3">
      <c r="B15" s="305"/>
      <c r="C15" s="310"/>
      <c r="D15" s="300">
        <v>3</v>
      </c>
      <c r="E15" s="301"/>
      <c r="F15" s="300"/>
      <c r="G15" s="301"/>
    </row>
    <row r="16" spans="1:8" ht="16.5" thickTop="1" thickBot="1" x14ac:dyDescent="0.3">
      <c r="D16" s="5">
        <v>4</v>
      </c>
      <c r="F16" s="314" t="s">
        <v>398</v>
      </c>
      <c r="G16" s="315">
        <f>SUM(G13:G15)</f>
        <v>92768.88</v>
      </c>
    </row>
    <row r="17" spans="2:7" ht="16.5" thickTop="1" thickBot="1" x14ac:dyDescent="0.3"/>
    <row r="18" spans="2:7" ht="16.5" thickTop="1" thickBot="1" x14ac:dyDescent="0.3">
      <c r="B18" s="317" t="s">
        <v>192</v>
      </c>
      <c r="C18" s="933" t="s">
        <v>399</v>
      </c>
      <c r="D18" s="933"/>
      <c r="E18" s="933"/>
      <c r="F18" s="933"/>
      <c r="G18" s="933"/>
    </row>
    <row r="19" spans="2:7" ht="15.75" thickTop="1" x14ac:dyDescent="0.25">
      <c r="B19" s="318"/>
      <c r="C19" s="290"/>
      <c r="D19" s="290">
        <v>2</v>
      </c>
      <c r="E19" s="290"/>
      <c r="F19" s="290" t="s">
        <v>122</v>
      </c>
      <c r="G19" s="290" t="s">
        <v>122</v>
      </c>
    </row>
    <row r="20" spans="2:7" x14ac:dyDescent="0.25">
      <c r="B20" s="319"/>
      <c r="C20" s="294" t="s">
        <v>8</v>
      </c>
      <c r="D20" s="294">
        <v>105</v>
      </c>
      <c r="E20" s="294" t="s">
        <v>0</v>
      </c>
      <c r="F20" s="294" t="s">
        <v>400</v>
      </c>
      <c r="G20" s="294" t="s">
        <v>392</v>
      </c>
    </row>
    <row r="21" spans="2:7" ht="15.75" thickBot="1" x14ac:dyDescent="0.3">
      <c r="B21" s="320"/>
      <c r="C21" s="295"/>
      <c r="D21" s="321">
        <v>125</v>
      </c>
      <c r="E21" s="296" t="s">
        <v>401</v>
      </c>
      <c r="F21" s="296" t="s">
        <v>402</v>
      </c>
      <c r="G21" s="296" t="s">
        <v>403</v>
      </c>
    </row>
    <row r="22" spans="2:7" ht="15.75" thickTop="1" x14ac:dyDescent="0.25">
      <c r="B22" s="400" t="s">
        <v>289</v>
      </c>
      <c r="C22" s="306" t="s">
        <v>467</v>
      </c>
      <c r="D22" s="307">
        <v>65</v>
      </c>
      <c r="E22" s="307">
        <v>1</v>
      </c>
      <c r="F22" s="401">
        <v>425086</v>
      </c>
      <c r="G22" s="402">
        <f>E22*F22</f>
        <v>425086</v>
      </c>
    </row>
    <row r="23" spans="2:7" x14ac:dyDescent="0.25">
      <c r="B23" s="323" t="s">
        <v>291</v>
      </c>
      <c r="C23" s="324" t="s">
        <v>468</v>
      </c>
      <c r="D23" s="325">
        <v>1</v>
      </c>
      <c r="E23" s="403">
        <v>1</v>
      </c>
      <c r="F23" s="404">
        <v>351724</v>
      </c>
      <c r="G23" s="404">
        <f>+E23*F23</f>
        <v>351724</v>
      </c>
    </row>
    <row r="24" spans="2:7" x14ac:dyDescent="0.25">
      <c r="B24" s="327" t="s">
        <v>293</v>
      </c>
      <c r="C24" s="328" t="s">
        <v>469</v>
      </c>
      <c r="D24" s="325">
        <v>1</v>
      </c>
      <c r="E24" s="365">
        <v>4</v>
      </c>
      <c r="F24" s="405">
        <v>35000</v>
      </c>
      <c r="G24" s="404">
        <f>+E24*F24</f>
        <v>140000</v>
      </c>
    </row>
    <row r="25" spans="2:7" ht="15.75" thickBot="1" x14ac:dyDescent="0.3">
      <c r="B25" s="331" t="s">
        <v>471</v>
      </c>
      <c r="C25" s="332" t="s">
        <v>472</v>
      </c>
      <c r="D25" s="299" t="s">
        <v>470</v>
      </c>
      <c r="E25" s="366">
        <v>4</v>
      </c>
      <c r="F25" s="406">
        <v>35000</v>
      </c>
      <c r="G25" s="390">
        <f>+E25*F25</f>
        <v>140000</v>
      </c>
    </row>
    <row r="26" spans="2:7" ht="15.75" thickTop="1" x14ac:dyDescent="0.25">
      <c r="D26" s="934">
        <v>30</v>
      </c>
      <c r="E26" s="934"/>
      <c r="F26" s="335"/>
      <c r="G26" s="336"/>
    </row>
    <row r="27" spans="2:7" x14ac:dyDescent="0.25">
      <c r="D27" s="935">
        <v>20</v>
      </c>
      <c r="E27" s="935"/>
      <c r="F27" s="337"/>
      <c r="G27" s="338"/>
    </row>
    <row r="28" spans="2:7" ht="15.75" thickBot="1" x14ac:dyDescent="0.3">
      <c r="D28" s="936">
        <v>10</v>
      </c>
      <c r="E28" s="936"/>
      <c r="F28" s="339"/>
      <c r="G28" s="292">
        <f>SUM(G22:G25)</f>
        <v>1056810</v>
      </c>
    </row>
    <row r="29" spans="2:7" ht="16.5" thickTop="1" thickBot="1" x14ac:dyDescent="0.3">
      <c r="D29" s="5">
        <v>5</v>
      </c>
    </row>
    <row r="30" spans="2:7" ht="16.5" thickTop="1" thickBot="1" x14ac:dyDescent="0.3">
      <c r="B30" s="290" t="s">
        <v>407</v>
      </c>
      <c r="C30" s="933" t="s">
        <v>408</v>
      </c>
      <c r="D30" s="933"/>
      <c r="E30" s="933"/>
      <c r="F30" s="933"/>
      <c r="G30" s="933"/>
    </row>
    <row r="31" spans="2:7" ht="15.75" thickTop="1" x14ac:dyDescent="0.25">
      <c r="B31" s="291"/>
      <c r="C31" s="290"/>
      <c r="D31" s="290">
        <v>1</v>
      </c>
      <c r="E31" s="290" t="s">
        <v>52</v>
      </c>
      <c r="F31" s="290" t="s">
        <v>388</v>
      </c>
      <c r="G31" s="290" t="s">
        <v>122</v>
      </c>
    </row>
    <row r="32" spans="2:7" x14ac:dyDescent="0.25">
      <c r="B32" s="293"/>
      <c r="C32" s="294" t="s">
        <v>8</v>
      </c>
      <c r="D32" s="294">
        <v>2</v>
      </c>
      <c r="E32" s="294" t="s">
        <v>409</v>
      </c>
      <c r="F32" s="294" t="s">
        <v>391</v>
      </c>
      <c r="G32" s="294" t="s">
        <v>392</v>
      </c>
    </row>
    <row r="33" spans="2:10" ht="15.75" thickBot="1" x14ac:dyDescent="0.3">
      <c r="B33" s="295"/>
      <c r="C33" s="295"/>
      <c r="D33" s="296">
        <v>1</v>
      </c>
      <c r="E33" s="296" t="s">
        <v>411</v>
      </c>
      <c r="F33" s="296" t="s">
        <v>412</v>
      </c>
      <c r="G33" s="296" t="s">
        <v>413</v>
      </c>
    </row>
    <row r="34" spans="2:10" ht="15.75" thickTop="1" x14ac:dyDescent="0.25">
      <c r="B34" s="340" t="s">
        <v>296</v>
      </c>
      <c r="C34" s="341" t="s">
        <v>414</v>
      </c>
      <c r="D34" s="342">
        <v>2</v>
      </c>
      <c r="E34" s="326">
        <v>48802</v>
      </c>
      <c r="F34" s="325">
        <v>1</v>
      </c>
      <c r="G34" s="326">
        <f>+ROUND(E34*D34/F34,0)</f>
        <v>97604</v>
      </c>
    </row>
    <row r="35" spans="2:10" ht="15.75" thickBot="1" x14ac:dyDescent="0.3">
      <c r="B35" s="343" t="s">
        <v>298</v>
      </c>
      <c r="C35" s="344" t="s">
        <v>415</v>
      </c>
      <c r="D35" s="342">
        <v>97</v>
      </c>
      <c r="E35" s="326">
        <v>96924</v>
      </c>
      <c r="F35" s="325">
        <v>1</v>
      </c>
      <c r="G35" s="326">
        <f>+ROUND(E35*D35/F35,0)</f>
        <v>9401628</v>
      </c>
    </row>
    <row r="36" spans="2:10" ht="16.5" thickTop="1" thickBot="1" x14ac:dyDescent="0.3">
      <c r="D36" s="5">
        <v>2</v>
      </c>
      <c r="F36" s="314" t="s">
        <v>398</v>
      </c>
      <c r="G36" s="315">
        <f>SUM(G34:G35)</f>
        <v>9499232</v>
      </c>
    </row>
    <row r="37" spans="2:10" ht="16.5" thickTop="1" thickBot="1" x14ac:dyDescent="0.3">
      <c r="D37" s="5">
        <v>50</v>
      </c>
    </row>
    <row r="38" spans="2:10" ht="16.5" thickTop="1" thickBot="1" x14ac:dyDescent="0.3">
      <c r="B38" s="290" t="s">
        <v>303</v>
      </c>
      <c r="C38" s="933" t="s">
        <v>416</v>
      </c>
      <c r="D38" s="933"/>
      <c r="E38" s="933"/>
      <c r="F38" s="933"/>
      <c r="G38" s="933"/>
    </row>
    <row r="39" spans="2:10" ht="15.75" thickTop="1" x14ac:dyDescent="0.25">
      <c r="B39" s="291"/>
      <c r="C39" s="290"/>
      <c r="D39" s="290"/>
      <c r="E39" s="290"/>
      <c r="F39" s="290"/>
      <c r="G39" s="290" t="s">
        <v>122</v>
      </c>
    </row>
    <row r="40" spans="2:10" x14ac:dyDescent="0.25">
      <c r="B40" s="293"/>
      <c r="C40" s="294" t="s">
        <v>8</v>
      </c>
      <c r="D40" s="294" t="s">
        <v>389</v>
      </c>
      <c r="E40" s="294" t="s">
        <v>182</v>
      </c>
      <c r="F40" s="294" t="s">
        <v>388</v>
      </c>
      <c r="G40" s="294" t="s">
        <v>392</v>
      </c>
    </row>
    <row r="41" spans="2:10" ht="15.75" thickBot="1" x14ac:dyDescent="0.3">
      <c r="B41" s="295"/>
      <c r="C41" s="295"/>
      <c r="D41" s="296" t="s">
        <v>417</v>
      </c>
      <c r="E41" s="296" t="s">
        <v>418</v>
      </c>
      <c r="F41" s="296" t="s">
        <v>419</v>
      </c>
      <c r="G41" s="296" t="s">
        <v>420</v>
      </c>
    </row>
    <row r="42" spans="2:10" ht="15.75" thickTop="1" x14ac:dyDescent="0.25">
      <c r="B42" s="347" t="s">
        <v>306</v>
      </c>
      <c r="C42" s="348" t="s">
        <v>473</v>
      </c>
      <c r="D42" s="349">
        <v>1</v>
      </c>
      <c r="E42" s="350">
        <v>60000</v>
      </c>
      <c r="F42" s="349">
        <v>1</v>
      </c>
      <c r="G42" s="350">
        <f>(D42*E42)*F42</f>
        <v>60000</v>
      </c>
    </row>
    <row r="43" spans="2:10" ht="15.75" thickBot="1" x14ac:dyDescent="0.3">
      <c r="B43" s="331"/>
      <c r="C43" s="351"/>
      <c r="D43" s="299"/>
      <c r="E43" s="299"/>
      <c r="F43" s="299"/>
      <c r="G43" s="292"/>
    </row>
    <row r="44" spans="2:10" ht="16.5" thickTop="1" thickBot="1" x14ac:dyDescent="0.3">
      <c r="F44" s="314" t="s">
        <v>398</v>
      </c>
      <c r="G44" s="315">
        <f>SUM(G42:G43)</f>
        <v>60000</v>
      </c>
      <c r="I44" s="313">
        <f>I46/2</f>
        <v>-4391686.5</v>
      </c>
    </row>
    <row r="45" spans="2:10" ht="16.5" thickTop="1" thickBot="1" x14ac:dyDescent="0.3">
      <c r="G45" s="269"/>
    </row>
    <row r="46" spans="2:10" ht="16.5" thickTop="1" thickBot="1" x14ac:dyDescent="0.3">
      <c r="B46" s="928" t="s">
        <v>422</v>
      </c>
      <c r="C46" s="929"/>
      <c r="D46" s="929"/>
      <c r="E46" s="929"/>
      <c r="F46" s="352"/>
      <c r="G46" s="353">
        <f>G16+G28+G36+G44</f>
        <v>10708810.879999999</v>
      </c>
      <c r="I46" s="313">
        <f>I48-G48</f>
        <v>-8783373</v>
      </c>
      <c r="J46" s="407"/>
    </row>
    <row r="47" spans="2:10" ht="16.5" thickTop="1" thickBot="1" x14ac:dyDescent="0.3">
      <c r="B47" s="930" t="s">
        <v>423</v>
      </c>
      <c r="C47" s="931"/>
      <c r="D47" s="931"/>
      <c r="E47" s="931"/>
      <c r="F47" s="354">
        <v>0</v>
      </c>
      <c r="G47" s="355"/>
    </row>
    <row r="48" spans="2:10" ht="16.5" thickTop="1" thickBot="1" x14ac:dyDescent="0.3">
      <c r="B48" s="356" t="s">
        <v>424</v>
      </c>
      <c r="C48" s="357"/>
      <c r="D48" s="357"/>
      <c r="E48" s="357"/>
      <c r="F48" s="358"/>
      <c r="G48" s="359">
        <f>ROUND(G46,0)</f>
        <v>10708811</v>
      </c>
      <c r="I48" s="5">
        <v>1925438</v>
      </c>
    </row>
    <row r="49" spans="1:9" ht="15.75" thickTop="1" x14ac:dyDescent="0.25">
      <c r="G49" s="361"/>
    </row>
    <row r="50" spans="1:9" x14ac:dyDescent="0.25">
      <c r="C50" s="362" t="s">
        <v>425</v>
      </c>
      <c r="G50" s="361"/>
    </row>
    <row r="51" spans="1:9" ht="15" customHeight="1" x14ac:dyDescent="0.25">
      <c r="C51" s="932" t="s">
        <v>621</v>
      </c>
      <c r="D51" s="932"/>
      <c r="E51" s="932"/>
      <c r="F51" s="932"/>
      <c r="G51" s="361"/>
    </row>
    <row r="52" spans="1:9" ht="31.5" customHeight="1" thickBot="1" x14ac:dyDescent="0.3"/>
    <row r="53" spans="1:9" ht="15.75" thickTop="1" x14ac:dyDescent="0.25">
      <c r="A53" s="940" t="s">
        <v>378</v>
      </c>
      <c r="B53" s="941"/>
      <c r="C53" s="941"/>
      <c r="D53" s="941"/>
      <c r="E53" s="941"/>
      <c r="F53" s="941"/>
      <c r="G53" s="941"/>
      <c r="H53" s="942"/>
    </row>
    <row r="54" spans="1:9" x14ac:dyDescent="0.25">
      <c r="A54" s="943" t="s">
        <v>379</v>
      </c>
      <c r="B54" s="944"/>
      <c r="C54" s="944"/>
      <c r="D54" s="944"/>
      <c r="E54" s="944"/>
      <c r="F54" s="944"/>
      <c r="G54" s="944"/>
      <c r="H54" s="945"/>
    </row>
    <row r="55" spans="1:9" ht="15.75" thickBot="1" x14ac:dyDescent="0.3">
      <c r="A55" s="946" t="s">
        <v>261</v>
      </c>
      <c r="B55" s="947"/>
      <c r="C55" s="947"/>
      <c r="D55" s="947"/>
      <c r="E55" s="947"/>
      <c r="F55" s="947"/>
      <c r="G55" s="947"/>
      <c r="H55" s="948"/>
    </row>
    <row r="56" spans="1:9" ht="16.5" thickTop="1" thickBot="1" x14ac:dyDescent="0.3">
      <c r="A56" s="949" t="s">
        <v>30</v>
      </c>
      <c r="B56" s="950"/>
      <c r="C56" s="950"/>
      <c r="D56" s="950"/>
      <c r="E56" s="950"/>
      <c r="F56" s="950"/>
      <c r="G56" s="950"/>
      <c r="H56" s="951"/>
    </row>
    <row r="57" spans="1:9" ht="15.75" thickTop="1" x14ac:dyDescent="0.25">
      <c r="A57" s="277" t="s">
        <v>380</v>
      </c>
      <c r="B57" s="952" t="s">
        <v>460</v>
      </c>
      <c r="C57" s="952"/>
      <c r="D57" s="952"/>
      <c r="E57" s="952"/>
      <c r="F57" s="952"/>
      <c r="G57" s="278"/>
      <c r="H57" s="279"/>
    </row>
    <row r="58" spans="1:9" x14ac:dyDescent="0.25">
      <c r="A58" s="280" t="s">
        <v>382</v>
      </c>
      <c r="B58" s="408">
        <v>4</v>
      </c>
      <c r="C58" s="954" t="s">
        <v>474</v>
      </c>
      <c r="D58" s="954"/>
      <c r="E58" s="954"/>
      <c r="F58" s="283" t="s">
        <v>383</v>
      </c>
      <c r="G58" s="284" t="s">
        <v>169</v>
      </c>
      <c r="H58" s="285"/>
    </row>
    <row r="59" spans="1:9" ht="48" customHeight="1" thickBot="1" x14ac:dyDescent="0.3">
      <c r="A59" s="286" t="s">
        <v>384</v>
      </c>
      <c r="B59" s="287" t="s">
        <v>308</v>
      </c>
      <c r="C59" s="962" t="str">
        <f>'[3]REPOSICION INTERSECCION'!B27</f>
        <v>SUMINISTRO E INSTALACION POSTE METALICO TIPO T2 (MENSULA), 3.6 m. BRAZO DE 5.5.M FABRICADO EN DOS SECCIONES EN TUBERIA DE ACERO DE 4" Y 3", GALVANIZADO ACABADO EN PINTURA ELECTROSTÁTICA, ROJO-AMARILLO (INCLUYE TRANSPORTE).</v>
      </c>
      <c r="D59" s="962"/>
      <c r="E59" s="962"/>
      <c r="F59" s="288" t="s">
        <v>385</v>
      </c>
      <c r="G59" s="287" t="s">
        <v>620</v>
      </c>
      <c r="H59" s="289"/>
      <c r="I59" s="243"/>
    </row>
    <row r="60" spans="1:9" ht="16.5" thickTop="1" thickBot="1" x14ac:dyDescent="0.3"/>
    <row r="61" spans="1:9" ht="16.5" thickTop="1" thickBot="1" x14ac:dyDescent="0.3">
      <c r="B61" s="290" t="s">
        <v>183</v>
      </c>
      <c r="C61" s="937" t="s">
        <v>386</v>
      </c>
      <c r="D61" s="938"/>
      <c r="E61" s="938"/>
      <c r="F61" s="938"/>
      <c r="G61" s="939"/>
    </row>
    <row r="62" spans="1:9" ht="15.75" thickTop="1" x14ac:dyDescent="0.25">
      <c r="B62" s="291"/>
      <c r="C62" s="290"/>
      <c r="D62" s="290"/>
      <c r="E62" s="290" t="s">
        <v>387</v>
      </c>
      <c r="F62" s="290" t="s">
        <v>388</v>
      </c>
      <c r="G62" s="290" t="s">
        <v>122</v>
      </c>
    </row>
    <row r="63" spans="1:9" x14ac:dyDescent="0.25">
      <c r="B63" s="293"/>
      <c r="C63" s="294" t="s">
        <v>8</v>
      </c>
      <c r="D63" s="294" t="s">
        <v>389</v>
      </c>
      <c r="E63" s="294" t="s">
        <v>390</v>
      </c>
      <c r="F63" s="294" t="s">
        <v>391</v>
      </c>
      <c r="G63" s="294" t="s">
        <v>392</v>
      </c>
    </row>
    <row r="64" spans="1:9" ht="15.75" thickBot="1" x14ac:dyDescent="0.3">
      <c r="B64" s="295"/>
      <c r="C64" s="295"/>
      <c r="D64" s="296" t="s">
        <v>393</v>
      </c>
      <c r="E64" s="296" t="s">
        <v>394</v>
      </c>
      <c r="F64" s="296" t="s">
        <v>395</v>
      </c>
      <c r="G64" s="296" t="s">
        <v>396</v>
      </c>
    </row>
    <row r="65" spans="2:7" ht="16.5" thickTop="1" thickBot="1" x14ac:dyDescent="0.3">
      <c r="B65" s="302" t="s">
        <v>185</v>
      </c>
      <c r="C65" s="387" t="s">
        <v>262</v>
      </c>
      <c r="D65" s="349">
        <v>1</v>
      </c>
      <c r="E65" s="292">
        <f>15318*1.16</f>
        <v>17768.879999999997</v>
      </c>
      <c r="F65" s="349">
        <v>1</v>
      </c>
      <c r="G65" s="350">
        <f>D65*E65/F65</f>
        <v>17768.879999999997</v>
      </c>
    </row>
    <row r="66" spans="2:7" ht="16.5" thickTop="1" thickBot="1" x14ac:dyDescent="0.3">
      <c r="B66" s="302" t="s">
        <v>280</v>
      </c>
      <c r="C66" s="310" t="s">
        <v>466</v>
      </c>
      <c r="D66" s="300">
        <v>1</v>
      </c>
      <c r="E66" s="304">
        <v>150000</v>
      </c>
      <c r="F66" s="300">
        <v>1</v>
      </c>
      <c r="G66" s="350">
        <f>D66*E66/F66</f>
        <v>150000</v>
      </c>
    </row>
    <row r="67" spans="2:7" ht="16.5" thickTop="1" thickBot="1" x14ac:dyDescent="0.3">
      <c r="F67" s="314" t="s">
        <v>398</v>
      </c>
      <c r="G67" s="315">
        <f>SUM(G65:G66)</f>
        <v>167768.88</v>
      </c>
    </row>
    <row r="68" spans="2:7" ht="16.5" thickTop="1" thickBot="1" x14ac:dyDescent="0.3"/>
    <row r="69" spans="2:7" ht="16.5" thickTop="1" thickBot="1" x14ac:dyDescent="0.3">
      <c r="B69" s="317" t="s">
        <v>192</v>
      </c>
      <c r="C69" s="937" t="s">
        <v>399</v>
      </c>
      <c r="D69" s="938"/>
      <c r="E69" s="938"/>
      <c r="F69" s="938"/>
      <c r="G69" s="939"/>
    </row>
    <row r="70" spans="2:7" ht="15.75" thickTop="1" x14ac:dyDescent="0.25">
      <c r="B70" s="318"/>
      <c r="C70" s="290"/>
      <c r="D70" s="290"/>
      <c r="E70" s="290"/>
      <c r="F70" s="290" t="s">
        <v>122</v>
      </c>
      <c r="G70" s="290" t="s">
        <v>122</v>
      </c>
    </row>
    <row r="71" spans="2:7" x14ac:dyDescent="0.25">
      <c r="B71" s="319"/>
      <c r="C71" s="294" t="s">
        <v>8</v>
      </c>
      <c r="D71" s="294" t="s">
        <v>169</v>
      </c>
      <c r="E71" s="294" t="s">
        <v>0</v>
      </c>
      <c r="F71" s="294" t="s">
        <v>400</v>
      </c>
      <c r="G71" s="294" t="s">
        <v>392</v>
      </c>
    </row>
    <row r="72" spans="2:7" ht="15.75" thickBot="1" x14ac:dyDescent="0.3">
      <c r="B72" s="320"/>
      <c r="C72" s="295"/>
      <c r="D72" s="321"/>
      <c r="E72" s="296" t="s">
        <v>401</v>
      </c>
      <c r="F72" s="296" t="s">
        <v>402</v>
      </c>
      <c r="G72" s="296" t="s">
        <v>403</v>
      </c>
    </row>
    <row r="73" spans="2:7" ht="15.75" thickTop="1" x14ac:dyDescent="0.25">
      <c r="B73" s="322" t="s">
        <v>289</v>
      </c>
      <c r="C73" s="306" t="s">
        <v>475</v>
      </c>
      <c r="D73" s="307" t="s">
        <v>290</v>
      </c>
      <c r="E73" s="307">
        <v>1</v>
      </c>
      <c r="F73" s="401">
        <v>777040</v>
      </c>
      <c r="G73" s="401">
        <f>E73*F73</f>
        <v>777040</v>
      </c>
    </row>
    <row r="74" spans="2:7" x14ac:dyDescent="0.25">
      <c r="B74" s="323" t="s">
        <v>291</v>
      </c>
      <c r="C74" s="324" t="s">
        <v>476</v>
      </c>
      <c r="D74" s="325" t="s">
        <v>290</v>
      </c>
      <c r="E74" s="403">
        <v>1</v>
      </c>
      <c r="F74" s="404">
        <v>558591</v>
      </c>
      <c r="G74" s="404">
        <f>E74*F74</f>
        <v>558591</v>
      </c>
    </row>
    <row r="75" spans="2:7" x14ac:dyDescent="0.25">
      <c r="B75" s="327" t="s">
        <v>293</v>
      </c>
      <c r="C75" s="328" t="s">
        <v>469</v>
      </c>
      <c r="D75" s="325" t="s">
        <v>470</v>
      </c>
      <c r="E75" s="365">
        <v>4</v>
      </c>
      <c r="F75" s="405">
        <v>35000</v>
      </c>
      <c r="G75" s="404">
        <f>E75*F75</f>
        <v>140000</v>
      </c>
    </row>
    <row r="76" spans="2:7" ht="15.75" thickBot="1" x14ac:dyDescent="0.3">
      <c r="B76" s="331" t="s">
        <v>471</v>
      </c>
      <c r="C76" s="332" t="s">
        <v>472</v>
      </c>
      <c r="D76" s="299" t="s">
        <v>470</v>
      </c>
      <c r="E76" s="366">
        <v>4</v>
      </c>
      <c r="F76" s="406">
        <v>35000</v>
      </c>
      <c r="G76" s="390">
        <f>E76*F76</f>
        <v>140000</v>
      </c>
    </row>
    <row r="77" spans="2:7" ht="15.75" thickTop="1" x14ac:dyDescent="0.25">
      <c r="D77" s="934" t="s">
        <v>404</v>
      </c>
      <c r="E77" s="934"/>
      <c r="F77" s="335"/>
      <c r="G77" s="336"/>
    </row>
    <row r="78" spans="2:7" x14ac:dyDescent="0.25">
      <c r="D78" s="935" t="s">
        <v>405</v>
      </c>
      <c r="E78" s="935"/>
      <c r="F78" s="337"/>
      <c r="G78" s="338"/>
    </row>
    <row r="79" spans="2:7" ht="15.75" thickBot="1" x14ac:dyDescent="0.3">
      <c r="D79" s="936" t="s">
        <v>406</v>
      </c>
      <c r="E79" s="936"/>
      <c r="F79" s="339"/>
      <c r="G79" s="292">
        <f>SUM(G73:G76)</f>
        <v>1615631</v>
      </c>
    </row>
    <row r="80" spans="2:7" ht="16.5" thickTop="1" thickBot="1" x14ac:dyDescent="0.3"/>
    <row r="81" spans="2:9" ht="16.5" thickTop="1" thickBot="1" x14ac:dyDescent="0.3">
      <c r="B81" s="290" t="s">
        <v>407</v>
      </c>
      <c r="C81" s="937" t="s">
        <v>408</v>
      </c>
      <c r="D81" s="938"/>
      <c r="E81" s="938"/>
      <c r="F81" s="938"/>
      <c r="G81" s="939"/>
    </row>
    <row r="82" spans="2:9" ht="15.75" thickTop="1" x14ac:dyDescent="0.25">
      <c r="B82" s="291"/>
      <c r="C82" s="290"/>
      <c r="D82" s="290"/>
      <c r="E82" s="290" t="s">
        <v>52</v>
      </c>
      <c r="F82" s="290" t="s">
        <v>388</v>
      </c>
      <c r="G82" s="290" t="s">
        <v>122</v>
      </c>
    </row>
    <row r="83" spans="2:9" x14ac:dyDescent="0.25">
      <c r="B83" s="293"/>
      <c r="C83" s="294" t="s">
        <v>8</v>
      </c>
      <c r="D83" s="294" t="s">
        <v>389</v>
      </c>
      <c r="E83" s="294" t="s">
        <v>409</v>
      </c>
      <c r="F83" s="294" t="s">
        <v>391</v>
      </c>
      <c r="G83" s="294" t="s">
        <v>392</v>
      </c>
      <c r="I83" s="313">
        <f>I96/2</f>
        <v>255348</v>
      </c>
    </row>
    <row r="84" spans="2:9" ht="15.75" thickBot="1" x14ac:dyDescent="0.3">
      <c r="B84" s="295"/>
      <c r="C84" s="295"/>
      <c r="D84" s="296" t="s">
        <v>410</v>
      </c>
      <c r="E84" s="296" t="s">
        <v>411</v>
      </c>
      <c r="F84" s="296" t="s">
        <v>412</v>
      </c>
      <c r="G84" s="296" t="s">
        <v>413</v>
      </c>
    </row>
    <row r="85" spans="2:9" ht="15.75" thickTop="1" x14ac:dyDescent="0.25">
      <c r="B85" s="340" t="s">
        <v>296</v>
      </c>
      <c r="C85" s="341" t="s">
        <v>414</v>
      </c>
      <c r="D85" s="342">
        <v>2</v>
      </c>
      <c r="E85" s="326">
        <v>48802</v>
      </c>
      <c r="F85" s="325">
        <v>0.4</v>
      </c>
      <c r="G85" s="326">
        <f>D85*E85/F85</f>
        <v>244010</v>
      </c>
    </row>
    <row r="86" spans="2:9" ht="15.75" thickBot="1" x14ac:dyDescent="0.3">
      <c r="B86" s="343" t="s">
        <v>298</v>
      </c>
      <c r="C86" s="344" t="s">
        <v>415</v>
      </c>
      <c r="D86" s="342">
        <v>1</v>
      </c>
      <c r="E86" s="326">
        <v>96924</v>
      </c>
      <c r="F86" s="325">
        <v>0.4</v>
      </c>
      <c r="G86" s="326">
        <f>D86*E86/F86</f>
        <v>242310</v>
      </c>
    </row>
    <row r="87" spans="2:9" ht="16.5" thickTop="1" thickBot="1" x14ac:dyDescent="0.3">
      <c r="F87" s="314" t="s">
        <v>398</v>
      </c>
      <c r="G87" s="315">
        <f>SUM(G85:G86)</f>
        <v>486320</v>
      </c>
    </row>
    <row r="88" spans="2:9" ht="16.5" thickTop="1" thickBot="1" x14ac:dyDescent="0.3"/>
    <row r="89" spans="2:9" ht="16.5" thickTop="1" thickBot="1" x14ac:dyDescent="0.3">
      <c r="B89" s="290" t="s">
        <v>303</v>
      </c>
      <c r="C89" s="937" t="s">
        <v>416</v>
      </c>
      <c r="D89" s="938"/>
      <c r="E89" s="938"/>
      <c r="F89" s="938"/>
      <c r="G89" s="939"/>
    </row>
    <row r="90" spans="2:9" ht="15.75" thickTop="1" x14ac:dyDescent="0.25">
      <c r="B90" s="291"/>
      <c r="C90" s="290"/>
      <c r="D90" s="290"/>
      <c r="E90" s="290"/>
      <c r="F90" s="290"/>
      <c r="G90" s="290" t="s">
        <v>122</v>
      </c>
    </row>
    <row r="91" spans="2:9" x14ac:dyDescent="0.25">
      <c r="B91" s="293"/>
      <c r="C91" s="294" t="s">
        <v>8</v>
      </c>
      <c r="D91" s="294" t="s">
        <v>389</v>
      </c>
      <c r="E91" s="294" t="s">
        <v>182</v>
      </c>
      <c r="F91" s="294" t="s">
        <v>388</v>
      </c>
      <c r="G91" s="294" t="s">
        <v>392</v>
      </c>
    </row>
    <row r="92" spans="2:9" ht="15.75" thickBot="1" x14ac:dyDescent="0.3">
      <c r="B92" s="295"/>
      <c r="C92" s="295"/>
      <c r="D92" s="296" t="s">
        <v>417</v>
      </c>
      <c r="E92" s="296" t="s">
        <v>418</v>
      </c>
      <c r="F92" s="296" t="s">
        <v>419</v>
      </c>
      <c r="G92" s="296" t="s">
        <v>420</v>
      </c>
    </row>
    <row r="93" spans="2:9" ht="15.75" thickTop="1" x14ac:dyDescent="0.25">
      <c r="B93" s="347" t="s">
        <v>306</v>
      </c>
      <c r="C93" s="348" t="s">
        <v>477</v>
      </c>
      <c r="D93" s="349">
        <v>2</v>
      </c>
      <c r="E93" s="350">
        <v>60000</v>
      </c>
      <c r="F93" s="349">
        <v>1</v>
      </c>
      <c r="G93" s="350">
        <f>(D93*E93)/F93</f>
        <v>120000</v>
      </c>
    </row>
    <row r="94" spans="2:9" ht="15.75" thickBot="1" x14ac:dyDescent="0.3">
      <c r="B94" s="331"/>
      <c r="C94" s="351"/>
      <c r="D94" s="299"/>
      <c r="E94" s="299"/>
      <c r="F94" s="299"/>
      <c r="G94" s="292"/>
    </row>
    <row r="95" spans="2:9" ht="16.5" thickTop="1" thickBot="1" x14ac:dyDescent="0.3">
      <c r="F95" s="314" t="s">
        <v>398</v>
      </c>
      <c r="G95" s="315">
        <f>SUM(G93:G94)</f>
        <v>120000</v>
      </c>
    </row>
    <row r="96" spans="2:9" ht="16.5" thickTop="1" thickBot="1" x14ac:dyDescent="0.3">
      <c r="G96" s="269"/>
      <c r="I96" s="409">
        <f>I98-G99</f>
        <v>510696</v>
      </c>
    </row>
    <row r="97" spans="1:12" ht="16.5" thickTop="1" thickBot="1" x14ac:dyDescent="0.3">
      <c r="B97" s="930" t="s">
        <v>422</v>
      </c>
      <c r="C97" s="931"/>
      <c r="D97" s="931"/>
      <c r="E97" s="931"/>
      <c r="F97" s="352"/>
      <c r="G97" s="353">
        <f>G67+G79+G87+G95</f>
        <v>2389719.88</v>
      </c>
      <c r="L97" s="407">
        <f>+J97-G97</f>
        <v>-2389719.88</v>
      </c>
    </row>
    <row r="98" spans="1:12" ht="16.5" thickTop="1" thickBot="1" x14ac:dyDescent="0.3">
      <c r="B98" s="930" t="s">
        <v>423</v>
      </c>
      <c r="C98" s="931"/>
      <c r="D98" s="931"/>
      <c r="E98" s="931"/>
      <c r="F98" s="354">
        <v>0</v>
      </c>
      <c r="G98" s="355"/>
      <c r="I98" s="5">
        <v>2900416</v>
      </c>
    </row>
    <row r="99" spans="1:12" ht="16.5" thickTop="1" thickBot="1" x14ac:dyDescent="0.3">
      <c r="B99" s="356" t="s">
        <v>424</v>
      </c>
      <c r="C99" s="357"/>
      <c r="D99" s="357"/>
      <c r="E99" s="357"/>
      <c r="F99" s="358"/>
      <c r="G99" s="359">
        <f>ROUND(G97,0)</f>
        <v>2389720</v>
      </c>
    </row>
    <row r="100" spans="1:12" ht="15.75" thickTop="1" x14ac:dyDescent="0.25">
      <c r="B100" s="376"/>
      <c r="C100" s="376"/>
      <c r="D100" s="376"/>
      <c r="E100" s="376"/>
      <c r="F100" s="377"/>
      <c r="G100" s="378"/>
    </row>
    <row r="101" spans="1:12" x14ac:dyDescent="0.25">
      <c r="B101" s="376"/>
      <c r="C101" s="362" t="s">
        <v>425</v>
      </c>
      <c r="G101" s="378"/>
    </row>
    <row r="102" spans="1:12" ht="15" customHeight="1" x14ac:dyDescent="0.25">
      <c r="B102" s="376"/>
      <c r="C102" s="932" t="s">
        <v>621</v>
      </c>
      <c r="D102" s="932"/>
      <c r="E102" s="932"/>
      <c r="F102" s="932"/>
      <c r="G102" s="378"/>
    </row>
    <row r="103" spans="1:12" x14ac:dyDescent="0.25">
      <c r="B103" s="376"/>
      <c r="C103" s="379"/>
      <c r="D103" s="379"/>
      <c r="E103" s="379"/>
      <c r="F103" s="379"/>
      <c r="G103" s="378"/>
    </row>
    <row r="104" spans="1:12" x14ac:dyDescent="0.25">
      <c r="B104" s="376"/>
      <c r="C104" s="379"/>
      <c r="D104" s="379"/>
      <c r="E104" s="379"/>
      <c r="F104" s="379"/>
      <c r="G104" s="378"/>
    </row>
    <row r="105" spans="1:12" ht="15.75" thickBot="1" x14ac:dyDescent="0.3">
      <c r="B105" s="376"/>
      <c r="C105" s="379"/>
      <c r="D105" s="379"/>
      <c r="E105" s="379"/>
      <c r="F105" s="379"/>
      <c r="G105" s="378"/>
    </row>
    <row r="106" spans="1:12" ht="15.75" thickTop="1" x14ac:dyDescent="0.25">
      <c r="A106" s="940" t="s">
        <v>378</v>
      </c>
      <c r="B106" s="941"/>
      <c r="C106" s="941"/>
      <c r="D106" s="941"/>
      <c r="E106" s="941"/>
      <c r="F106" s="941"/>
      <c r="G106" s="941"/>
      <c r="H106" s="942"/>
    </row>
    <row r="107" spans="1:12" x14ac:dyDescent="0.25">
      <c r="A107" s="943" t="s">
        <v>379</v>
      </c>
      <c r="B107" s="944"/>
      <c r="C107" s="944"/>
      <c r="D107" s="944"/>
      <c r="E107" s="944"/>
      <c r="F107" s="944"/>
      <c r="G107" s="944"/>
      <c r="H107" s="945"/>
    </row>
    <row r="108" spans="1:12" ht="15.75" thickBot="1" x14ac:dyDescent="0.3">
      <c r="A108" s="946" t="s">
        <v>261</v>
      </c>
      <c r="B108" s="947"/>
      <c r="C108" s="947"/>
      <c r="D108" s="947"/>
      <c r="E108" s="947"/>
      <c r="F108" s="947"/>
      <c r="G108" s="947"/>
      <c r="H108" s="948"/>
    </row>
    <row r="109" spans="1:12" ht="16.5" thickTop="1" thickBot="1" x14ac:dyDescent="0.3">
      <c r="A109" s="949" t="s">
        <v>30</v>
      </c>
      <c r="B109" s="950"/>
      <c r="C109" s="950"/>
      <c r="D109" s="950"/>
      <c r="E109" s="950"/>
      <c r="F109" s="950"/>
      <c r="G109" s="950"/>
      <c r="H109" s="951"/>
      <c r="I109" s="243"/>
    </row>
    <row r="110" spans="1:12" ht="15.75" thickTop="1" x14ac:dyDescent="0.25">
      <c r="A110" s="277" t="s">
        <v>380</v>
      </c>
      <c r="B110" s="952" t="s">
        <v>460</v>
      </c>
      <c r="C110" s="952"/>
      <c r="D110" s="952"/>
      <c r="E110" s="952"/>
      <c r="F110" s="952"/>
      <c r="G110" s="278"/>
      <c r="H110" s="279"/>
    </row>
    <row r="111" spans="1:12" x14ac:dyDescent="0.25">
      <c r="A111" s="280" t="s">
        <v>382</v>
      </c>
      <c r="B111" s="281" t="s">
        <v>303</v>
      </c>
      <c r="C111" s="281" t="str">
        <f>'[3]REPOSICION INTERSECCION'!B25</f>
        <v>POSTES Y CABLEADO</v>
      </c>
      <c r="D111" s="281"/>
      <c r="E111" s="282"/>
      <c r="F111" s="283" t="s">
        <v>383</v>
      </c>
      <c r="G111" s="284" t="s">
        <v>302</v>
      </c>
      <c r="H111" s="285"/>
    </row>
    <row r="112" spans="1:12" ht="25.5" customHeight="1" thickBot="1" x14ac:dyDescent="0.3">
      <c r="A112" s="286" t="s">
        <v>384</v>
      </c>
      <c r="B112" s="287" t="s">
        <v>310</v>
      </c>
      <c r="C112" s="953" t="str">
        <f>'[3]REPOSICION INTERSECCION'!B28</f>
        <v>SUMINISTRO E INSTALACION CABLE ELECTRICO 4X16 AWG, CONDUCTOR SOLIDO CHAQUETA DE PROTECCION</v>
      </c>
      <c r="D112" s="953"/>
      <c r="E112" s="953"/>
      <c r="F112" s="288" t="s">
        <v>385</v>
      </c>
      <c r="G112" s="287" t="s">
        <v>620</v>
      </c>
      <c r="H112" s="289"/>
    </row>
    <row r="113" spans="2:7" ht="16.5" thickTop="1" thickBot="1" x14ac:dyDescent="0.3"/>
    <row r="114" spans="2:7" ht="16.5" thickTop="1" thickBot="1" x14ac:dyDescent="0.3">
      <c r="B114" s="290" t="s">
        <v>183</v>
      </c>
      <c r="C114" s="937" t="s">
        <v>386</v>
      </c>
      <c r="D114" s="938"/>
      <c r="E114" s="938"/>
      <c r="F114" s="938"/>
      <c r="G114" s="939"/>
    </row>
    <row r="115" spans="2:7" ht="15.75" thickTop="1" x14ac:dyDescent="0.25">
      <c r="B115" s="291"/>
      <c r="C115" s="290"/>
      <c r="D115" s="290"/>
      <c r="E115" s="290" t="s">
        <v>387</v>
      </c>
      <c r="F115" s="290" t="s">
        <v>388</v>
      </c>
      <c r="G115" s="290" t="s">
        <v>122</v>
      </c>
    </row>
    <row r="116" spans="2:7" x14ac:dyDescent="0.25">
      <c r="B116" s="293"/>
      <c r="C116" s="294" t="s">
        <v>8</v>
      </c>
      <c r="D116" s="294" t="s">
        <v>389</v>
      </c>
      <c r="E116" s="294" t="s">
        <v>390</v>
      </c>
      <c r="F116" s="294" t="s">
        <v>391</v>
      </c>
      <c r="G116" s="294" t="s">
        <v>392</v>
      </c>
    </row>
    <row r="117" spans="2:7" ht="15.75" thickBot="1" x14ac:dyDescent="0.3">
      <c r="B117" s="295"/>
      <c r="C117" s="295"/>
      <c r="D117" s="296" t="s">
        <v>393</v>
      </c>
      <c r="E117" s="296" t="s">
        <v>394</v>
      </c>
      <c r="F117" s="296" t="s">
        <v>395</v>
      </c>
      <c r="G117" s="296" t="s">
        <v>396</v>
      </c>
    </row>
    <row r="118" spans="2:7" ht="16.5" thickTop="1" thickBot="1" x14ac:dyDescent="0.3">
      <c r="B118" s="297"/>
      <c r="C118" s="298"/>
      <c r="D118" s="299"/>
      <c r="E118" s="292"/>
      <c r="F118" s="300"/>
      <c r="G118" s="301"/>
    </row>
    <row r="119" spans="2:7" ht="16.5" thickTop="1" thickBot="1" x14ac:dyDescent="0.3">
      <c r="B119" s="297"/>
      <c r="C119" s="298"/>
      <c r="D119" s="299"/>
      <c r="E119" s="292"/>
      <c r="F119" s="299"/>
      <c r="G119" s="301"/>
    </row>
    <row r="120" spans="2:7" ht="16.5" thickTop="1" thickBot="1" x14ac:dyDescent="0.3">
      <c r="F120" s="314" t="s">
        <v>398</v>
      </c>
      <c r="G120" s="315">
        <f>SUM(G118:G119)</f>
        <v>0</v>
      </c>
    </row>
    <row r="121" spans="2:7" ht="16.5" thickTop="1" thickBot="1" x14ac:dyDescent="0.3"/>
    <row r="122" spans="2:7" ht="16.5" thickTop="1" thickBot="1" x14ac:dyDescent="0.3">
      <c r="B122" s="317" t="s">
        <v>192</v>
      </c>
      <c r="C122" s="933" t="s">
        <v>399</v>
      </c>
      <c r="D122" s="933"/>
      <c r="E122" s="933"/>
      <c r="F122" s="933"/>
      <c r="G122" s="933"/>
    </row>
    <row r="123" spans="2:7" ht="15.75" thickTop="1" x14ac:dyDescent="0.25">
      <c r="B123" s="318"/>
      <c r="C123" s="290"/>
      <c r="D123" s="290"/>
      <c r="E123" s="290"/>
      <c r="F123" s="290" t="s">
        <v>122</v>
      </c>
      <c r="G123" s="290" t="s">
        <v>122</v>
      </c>
    </row>
    <row r="124" spans="2:7" x14ac:dyDescent="0.25">
      <c r="B124" s="319"/>
      <c r="C124" s="294" t="s">
        <v>8</v>
      </c>
      <c r="D124" s="294" t="s">
        <v>169</v>
      </c>
      <c r="E124" s="294" t="s">
        <v>0</v>
      </c>
      <c r="F124" s="294" t="s">
        <v>400</v>
      </c>
      <c r="G124" s="294" t="s">
        <v>392</v>
      </c>
    </row>
    <row r="125" spans="2:7" ht="15.75" thickBot="1" x14ac:dyDescent="0.3">
      <c r="B125" s="320"/>
      <c r="C125" s="295"/>
      <c r="D125" s="321"/>
      <c r="E125" s="296" t="s">
        <v>401</v>
      </c>
      <c r="F125" s="296" t="s">
        <v>402</v>
      </c>
      <c r="G125" s="296" t="s">
        <v>403</v>
      </c>
    </row>
    <row r="126" spans="2:7" ht="20.25" thickTop="1" x14ac:dyDescent="0.25">
      <c r="B126" s="381" t="s">
        <v>289</v>
      </c>
      <c r="C126" s="410" t="s">
        <v>478</v>
      </c>
      <c r="D126" s="307" t="s">
        <v>345</v>
      </c>
      <c r="E126" s="307">
        <v>1</v>
      </c>
      <c r="F126" s="308">
        <v>11026</v>
      </c>
      <c r="G126" s="308">
        <f>E126*F126</f>
        <v>11026</v>
      </c>
    </row>
    <row r="127" spans="2:7" x14ac:dyDescent="0.25">
      <c r="B127" s="323" t="s">
        <v>291</v>
      </c>
      <c r="C127" s="383"/>
      <c r="D127" s="325"/>
      <c r="E127" s="325"/>
      <c r="F127" s="326"/>
      <c r="G127" s="326"/>
    </row>
    <row r="128" spans="2:7" x14ac:dyDescent="0.25">
      <c r="B128" s="323" t="s">
        <v>293</v>
      </c>
      <c r="C128" s="411"/>
      <c r="D128" s="325"/>
      <c r="E128" s="329"/>
      <c r="F128" s="330"/>
      <c r="G128" s="326"/>
    </row>
    <row r="129" spans="2:8" ht="15.75" thickBot="1" x14ac:dyDescent="0.3">
      <c r="B129" s="323" t="s">
        <v>471</v>
      </c>
      <c r="C129" s="411"/>
      <c r="D129" s="325"/>
      <c r="E129" s="329"/>
      <c r="F129" s="334"/>
      <c r="G129" s="326"/>
    </row>
    <row r="130" spans="2:8" ht="15.75" thickTop="1" x14ac:dyDescent="0.25">
      <c r="B130" s="323" t="s">
        <v>479</v>
      </c>
      <c r="C130" s="411"/>
      <c r="D130" s="325"/>
      <c r="E130" s="329"/>
      <c r="F130" s="412"/>
      <c r="G130" s="326"/>
      <c r="H130" s="330"/>
    </row>
    <row r="131" spans="2:8" x14ac:dyDescent="0.25">
      <c r="B131" s="413" t="s">
        <v>480</v>
      </c>
      <c r="C131" s="411"/>
      <c r="D131" s="395"/>
      <c r="E131" s="329"/>
      <c r="F131" s="412"/>
      <c r="G131" s="326"/>
      <c r="H131" s="414"/>
    </row>
    <row r="132" spans="2:8" ht="15.75" thickBot="1" x14ac:dyDescent="0.3">
      <c r="B132" s="415" t="s">
        <v>481</v>
      </c>
      <c r="C132" s="411"/>
      <c r="D132" s="299"/>
      <c r="E132" s="333"/>
      <c r="F132" s="416"/>
      <c r="G132" s="292"/>
      <c r="H132" s="334"/>
    </row>
    <row r="133" spans="2:8" ht="15.75" thickTop="1" x14ac:dyDescent="0.25">
      <c r="D133" s="934" t="s">
        <v>404</v>
      </c>
      <c r="E133" s="934"/>
      <c r="F133" s="335"/>
      <c r="G133" s="336"/>
    </row>
    <row r="134" spans="2:8" x14ac:dyDescent="0.25">
      <c r="D134" s="935" t="s">
        <v>405</v>
      </c>
      <c r="E134" s="935"/>
      <c r="F134" s="337"/>
      <c r="G134" s="338"/>
    </row>
    <row r="135" spans="2:8" ht="15.75" thickBot="1" x14ac:dyDescent="0.3">
      <c r="D135" s="936" t="s">
        <v>406</v>
      </c>
      <c r="E135" s="936"/>
      <c r="F135" s="339"/>
      <c r="G135" s="292">
        <f>SUM(G126:G132)</f>
        <v>11026</v>
      </c>
    </row>
    <row r="136" spans="2:8" ht="16.5" thickTop="1" thickBot="1" x14ac:dyDescent="0.3"/>
    <row r="137" spans="2:8" ht="16.5" thickTop="1" thickBot="1" x14ac:dyDescent="0.3">
      <c r="B137" s="290" t="s">
        <v>407</v>
      </c>
      <c r="C137" s="933" t="s">
        <v>408</v>
      </c>
      <c r="D137" s="933"/>
      <c r="E137" s="933"/>
      <c r="F137" s="933"/>
      <c r="G137" s="933"/>
    </row>
    <row r="138" spans="2:8" ht="15.75" thickTop="1" x14ac:dyDescent="0.25">
      <c r="B138" s="291"/>
      <c r="C138" s="290"/>
      <c r="D138" s="290"/>
      <c r="E138" s="290" t="s">
        <v>52</v>
      </c>
      <c r="F138" s="290" t="s">
        <v>388</v>
      </c>
      <c r="G138" s="290" t="s">
        <v>122</v>
      </c>
    </row>
    <row r="139" spans="2:8" x14ac:dyDescent="0.25">
      <c r="B139" s="293"/>
      <c r="C139" s="294" t="s">
        <v>8</v>
      </c>
      <c r="D139" s="294" t="s">
        <v>389</v>
      </c>
      <c r="E139" s="294" t="s">
        <v>409</v>
      </c>
      <c r="F139" s="294" t="s">
        <v>391</v>
      </c>
      <c r="G139" s="294" t="s">
        <v>392</v>
      </c>
    </row>
    <row r="140" spans="2:8" ht="15.75" thickBot="1" x14ac:dyDescent="0.3">
      <c r="B140" s="295"/>
      <c r="C140" s="295"/>
      <c r="D140" s="296" t="s">
        <v>410</v>
      </c>
      <c r="E140" s="296" t="s">
        <v>411</v>
      </c>
      <c r="F140" s="296" t="s">
        <v>412</v>
      </c>
      <c r="G140" s="296" t="s">
        <v>413</v>
      </c>
    </row>
    <row r="141" spans="2:8" ht="15.75" thickTop="1" x14ac:dyDescent="0.25">
      <c r="B141" s="340" t="s">
        <v>296</v>
      </c>
      <c r="C141" s="341" t="s">
        <v>414</v>
      </c>
      <c r="D141" s="342">
        <v>2</v>
      </c>
      <c r="E141" s="326">
        <v>48802</v>
      </c>
      <c r="F141" s="325">
        <v>40</v>
      </c>
      <c r="G141" s="326">
        <f>+ROUND(D141*E141/F141,0)</f>
        <v>2440</v>
      </c>
    </row>
    <row r="142" spans="2:8" ht="15.75" thickBot="1" x14ac:dyDescent="0.3">
      <c r="B142" s="343"/>
      <c r="C142" s="344"/>
      <c r="D142" s="342"/>
      <c r="E142" s="326"/>
      <c r="F142" s="325"/>
      <c r="G142" s="326"/>
    </row>
    <row r="143" spans="2:8" ht="16.5" thickTop="1" thickBot="1" x14ac:dyDescent="0.3">
      <c r="F143" s="314" t="s">
        <v>398</v>
      </c>
      <c r="G143" s="315">
        <f>SUM(G141:G142)</f>
        <v>2440</v>
      </c>
    </row>
    <row r="144" spans="2:8" ht="16.5" thickTop="1" thickBot="1" x14ac:dyDescent="0.3"/>
    <row r="145" spans="1:13" ht="16.5" thickTop="1" thickBot="1" x14ac:dyDescent="0.3">
      <c r="B145" s="290" t="s">
        <v>303</v>
      </c>
      <c r="C145" s="933" t="s">
        <v>416</v>
      </c>
      <c r="D145" s="933"/>
      <c r="E145" s="933"/>
      <c r="F145" s="933"/>
      <c r="G145" s="933"/>
    </row>
    <row r="146" spans="1:13" ht="15.75" thickTop="1" x14ac:dyDescent="0.25">
      <c r="B146" s="291"/>
      <c r="C146" s="290"/>
      <c r="D146" s="290"/>
      <c r="E146" s="290"/>
      <c r="F146" s="290"/>
      <c r="G146" s="290" t="s">
        <v>122</v>
      </c>
    </row>
    <row r="147" spans="1:13" x14ac:dyDescent="0.25">
      <c r="B147" s="293"/>
      <c r="C147" s="294" t="s">
        <v>8</v>
      </c>
      <c r="D147" s="294" t="s">
        <v>389</v>
      </c>
      <c r="E147" s="294" t="s">
        <v>182</v>
      </c>
      <c r="F147" s="294" t="s">
        <v>388</v>
      </c>
      <c r="G147" s="294" t="s">
        <v>392</v>
      </c>
    </row>
    <row r="148" spans="1:13" ht="15.75" thickBot="1" x14ac:dyDescent="0.3">
      <c r="B148" s="295"/>
      <c r="C148" s="295"/>
      <c r="D148" s="296" t="s">
        <v>417</v>
      </c>
      <c r="E148" s="296" t="s">
        <v>418</v>
      </c>
      <c r="F148" s="296" t="s">
        <v>419</v>
      </c>
      <c r="G148" s="296" t="s">
        <v>420</v>
      </c>
    </row>
    <row r="149" spans="1:13" ht="15.75" thickTop="1" x14ac:dyDescent="0.25">
      <c r="B149" s="347"/>
      <c r="C149" s="348"/>
      <c r="D149" s="349"/>
      <c r="E149" s="350"/>
      <c r="F149" s="349"/>
      <c r="G149" s="326"/>
    </row>
    <row r="150" spans="1:13" ht="15.75" thickBot="1" x14ac:dyDescent="0.3">
      <c r="B150" s="331"/>
      <c r="C150" s="351"/>
      <c r="D150" s="299"/>
      <c r="E150" s="299"/>
      <c r="F150" s="299"/>
      <c r="G150" s="292"/>
    </row>
    <row r="151" spans="1:13" ht="16.5" thickTop="1" thickBot="1" x14ac:dyDescent="0.3">
      <c r="F151" s="314" t="s">
        <v>398</v>
      </c>
      <c r="G151" s="315">
        <f>SUM(G149:G150)</f>
        <v>0</v>
      </c>
    </row>
    <row r="152" spans="1:13" ht="16.5" thickTop="1" thickBot="1" x14ac:dyDescent="0.3">
      <c r="G152" s="269"/>
      <c r="I152" s="5">
        <v>14869</v>
      </c>
    </row>
    <row r="153" spans="1:13" ht="16.5" thickTop="1" thickBot="1" x14ac:dyDescent="0.3">
      <c r="B153" s="928" t="s">
        <v>422</v>
      </c>
      <c r="C153" s="929"/>
      <c r="D153" s="929"/>
      <c r="E153" s="929"/>
      <c r="F153" s="352"/>
      <c r="G153" s="353">
        <f>G120+G135+G143+G151</f>
        <v>13466</v>
      </c>
      <c r="K153" s="5" t="e">
        <f>+#REF!</f>
        <v>#REF!</v>
      </c>
      <c r="M153" s="407" t="e">
        <f>+K153-G153</f>
        <v>#REF!</v>
      </c>
    </row>
    <row r="154" spans="1:13" ht="16.5" thickTop="1" thickBot="1" x14ac:dyDescent="0.3">
      <c r="B154" s="930" t="s">
        <v>423</v>
      </c>
      <c r="C154" s="931"/>
      <c r="D154" s="931"/>
      <c r="E154" s="931"/>
      <c r="F154" s="354">
        <v>0</v>
      </c>
      <c r="G154" s="355"/>
      <c r="I154" s="313">
        <f>I152-G155</f>
        <v>1403</v>
      </c>
    </row>
    <row r="155" spans="1:13" ht="16.5" thickTop="1" thickBot="1" x14ac:dyDescent="0.3">
      <c r="B155" s="356" t="s">
        <v>424</v>
      </c>
      <c r="C155" s="357"/>
      <c r="D155" s="357"/>
      <c r="E155" s="357"/>
      <c r="F155" s="358"/>
      <c r="G155" s="359">
        <f>G153</f>
        <v>13466</v>
      </c>
    </row>
    <row r="156" spans="1:13" ht="15.75" thickTop="1" x14ac:dyDescent="0.25">
      <c r="B156" s="376"/>
      <c r="C156" s="376"/>
      <c r="D156" s="376"/>
      <c r="E156" s="376"/>
      <c r="F156" s="377"/>
      <c r="G156" s="378"/>
    </row>
    <row r="157" spans="1:13" x14ac:dyDescent="0.25">
      <c r="B157" s="376"/>
      <c r="C157" s="362" t="s">
        <v>425</v>
      </c>
      <c r="G157" s="378"/>
    </row>
    <row r="158" spans="1:13" ht="12.75" customHeight="1" x14ac:dyDescent="0.25">
      <c r="B158" s="376"/>
      <c r="C158" s="932" t="s">
        <v>621</v>
      </c>
      <c r="D158" s="932"/>
      <c r="E158" s="932"/>
      <c r="F158" s="932"/>
      <c r="G158" s="378"/>
    </row>
    <row r="159" spans="1:13" ht="15.75" thickBot="1" x14ac:dyDescent="0.3">
      <c r="B159" s="376"/>
      <c r="C159" s="379"/>
      <c r="D159" s="379"/>
      <c r="E159" s="379"/>
      <c r="F159" s="379"/>
      <c r="G159" s="378"/>
    </row>
    <row r="160" spans="1:13" ht="15.75" thickTop="1" x14ac:dyDescent="0.25">
      <c r="A160" s="940" t="s">
        <v>378</v>
      </c>
      <c r="B160" s="941"/>
      <c r="C160" s="941"/>
      <c r="D160" s="941"/>
      <c r="E160" s="941"/>
      <c r="F160" s="941"/>
      <c r="G160" s="941"/>
      <c r="H160" s="942"/>
    </row>
    <row r="161" spans="1:8" x14ac:dyDescent="0.25">
      <c r="A161" s="943" t="s">
        <v>379</v>
      </c>
      <c r="B161" s="944"/>
      <c r="C161" s="944"/>
      <c r="D161" s="944"/>
      <c r="E161" s="944"/>
      <c r="F161" s="944"/>
      <c r="G161" s="944"/>
      <c r="H161" s="945"/>
    </row>
    <row r="162" spans="1:8" ht="15.75" thickBot="1" x14ac:dyDescent="0.3">
      <c r="A162" s="946" t="s">
        <v>261</v>
      </c>
      <c r="B162" s="947"/>
      <c r="C162" s="947"/>
      <c r="D162" s="947"/>
      <c r="E162" s="947"/>
      <c r="F162" s="947"/>
      <c r="G162" s="947"/>
      <c r="H162" s="948"/>
    </row>
    <row r="163" spans="1:8" ht="16.5" thickTop="1" thickBot="1" x14ac:dyDescent="0.3">
      <c r="A163" s="949" t="s">
        <v>30</v>
      </c>
      <c r="B163" s="950"/>
      <c r="C163" s="950"/>
      <c r="D163" s="950"/>
      <c r="E163" s="950"/>
      <c r="F163" s="950"/>
      <c r="G163" s="950"/>
      <c r="H163" s="951"/>
    </row>
    <row r="164" spans="1:8" ht="15.75" thickTop="1" x14ac:dyDescent="0.25">
      <c r="A164" s="277" t="s">
        <v>380</v>
      </c>
      <c r="B164" s="952" t="s">
        <v>460</v>
      </c>
      <c r="C164" s="952"/>
      <c r="D164" s="952"/>
      <c r="E164" s="952"/>
      <c r="F164" s="952"/>
      <c r="G164" s="278"/>
      <c r="H164" s="279"/>
    </row>
    <row r="165" spans="1:8" x14ac:dyDescent="0.25">
      <c r="A165" s="280" t="s">
        <v>382</v>
      </c>
      <c r="B165" s="281" t="s">
        <v>303</v>
      </c>
      <c r="C165" s="961" t="s">
        <v>304</v>
      </c>
      <c r="D165" s="961"/>
      <c r="E165" s="961"/>
      <c r="F165" s="283" t="s">
        <v>383</v>
      </c>
      <c r="G165" s="284" t="s">
        <v>302</v>
      </c>
      <c r="H165" s="285"/>
    </row>
    <row r="166" spans="1:8" ht="28.5" customHeight="1" thickBot="1" x14ac:dyDescent="0.3">
      <c r="A166" s="286" t="s">
        <v>384</v>
      </c>
      <c r="B166" s="287" t="s">
        <v>312</v>
      </c>
      <c r="C166" s="953" t="s">
        <v>313</v>
      </c>
      <c r="D166" s="953"/>
      <c r="E166" s="953"/>
      <c r="F166" s="288" t="s">
        <v>385</v>
      </c>
      <c r="G166" s="287" t="s">
        <v>620</v>
      </c>
      <c r="H166" s="289"/>
    </row>
    <row r="167" spans="1:8" ht="16.5" thickTop="1" thickBot="1" x14ac:dyDescent="0.3"/>
    <row r="168" spans="1:8" ht="16.5" thickTop="1" thickBot="1" x14ac:dyDescent="0.3">
      <c r="B168" s="290" t="s">
        <v>183</v>
      </c>
      <c r="C168" s="937" t="s">
        <v>386</v>
      </c>
      <c r="D168" s="938"/>
      <c r="E168" s="938"/>
      <c r="F168" s="938"/>
      <c r="G168" s="939"/>
    </row>
    <row r="169" spans="1:8" ht="15.75" thickTop="1" x14ac:dyDescent="0.25">
      <c r="B169" s="291"/>
      <c r="C169" s="290"/>
      <c r="D169" s="290"/>
      <c r="E169" s="290" t="s">
        <v>387</v>
      </c>
      <c r="F169" s="290" t="s">
        <v>388</v>
      </c>
      <c r="G169" s="290" t="s">
        <v>122</v>
      </c>
    </row>
    <row r="170" spans="1:8" x14ac:dyDescent="0.25">
      <c r="B170" s="293"/>
      <c r="C170" s="294" t="s">
        <v>8</v>
      </c>
      <c r="D170" s="294" t="s">
        <v>389</v>
      </c>
      <c r="E170" s="294" t="s">
        <v>390</v>
      </c>
      <c r="F170" s="294" t="s">
        <v>391</v>
      </c>
      <c r="G170" s="294" t="s">
        <v>392</v>
      </c>
    </row>
    <row r="171" spans="1:8" ht="15.75" thickBot="1" x14ac:dyDescent="0.3">
      <c r="B171" s="295"/>
      <c r="C171" s="295"/>
      <c r="D171" s="296" t="s">
        <v>393</v>
      </c>
      <c r="E171" s="296" t="s">
        <v>394</v>
      </c>
      <c r="F171" s="296" t="s">
        <v>395</v>
      </c>
      <c r="G171" s="296" t="s">
        <v>396</v>
      </c>
    </row>
    <row r="172" spans="1:8" ht="16.5" thickTop="1" thickBot="1" x14ac:dyDescent="0.3">
      <c r="B172" s="297"/>
      <c r="C172" s="298"/>
      <c r="D172" s="299"/>
      <c r="E172" s="292"/>
      <c r="F172" s="300"/>
      <c r="G172" s="301"/>
    </row>
    <row r="173" spans="1:8" ht="16.5" thickTop="1" thickBot="1" x14ac:dyDescent="0.3">
      <c r="B173" s="297"/>
      <c r="C173" s="298"/>
      <c r="D173" s="299"/>
      <c r="E173" s="292"/>
      <c r="F173" s="299"/>
      <c r="G173" s="301"/>
    </row>
    <row r="174" spans="1:8" ht="16.5" thickTop="1" thickBot="1" x14ac:dyDescent="0.3">
      <c r="F174" s="314" t="s">
        <v>398</v>
      </c>
      <c r="G174" s="315">
        <f>SUM(G172:G173)</f>
        <v>0</v>
      </c>
    </row>
    <row r="175" spans="1:8" ht="16.5" thickTop="1" thickBot="1" x14ac:dyDescent="0.3"/>
    <row r="176" spans="1:8" ht="16.5" thickTop="1" thickBot="1" x14ac:dyDescent="0.3">
      <c r="B176" s="317" t="s">
        <v>192</v>
      </c>
      <c r="C176" s="933" t="s">
        <v>399</v>
      </c>
      <c r="D176" s="933"/>
      <c r="E176" s="933"/>
      <c r="F176" s="933"/>
      <c r="G176" s="933"/>
    </row>
    <row r="177" spans="2:7" ht="15.75" thickTop="1" x14ac:dyDescent="0.25">
      <c r="B177" s="318"/>
      <c r="C177" s="290"/>
      <c r="D177" s="290"/>
      <c r="E177" s="290"/>
      <c r="F177" s="290" t="s">
        <v>122</v>
      </c>
      <c r="G177" s="290" t="s">
        <v>122</v>
      </c>
    </row>
    <row r="178" spans="2:7" x14ac:dyDescent="0.25">
      <c r="B178" s="319"/>
      <c r="C178" s="294" t="s">
        <v>8</v>
      </c>
      <c r="D178" s="294" t="s">
        <v>169</v>
      </c>
      <c r="E178" s="294" t="s">
        <v>0</v>
      </c>
      <c r="F178" s="294" t="s">
        <v>400</v>
      </c>
      <c r="G178" s="294" t="s">
        <v>392</v>
      </c>
    </row>
    <row r="179" spans="2:7" ht="15.75" thickBot="1" x14ac:dyDescent="0.3">
      <c r="B179" s="320"/>
      <c r="C179" s="295"/>
      <c r="D179" s="321"/>
      <c r="E179" s="296" t="s">
        <v>401</v>
      </c>
      <c r="F179" s="296" t="s">
        <v>402</v>
      </c>
      <c r="G179" s="296" t="s">
        <v>403</v>
      </c>
    </row>
    <row r="180" spans="2:7" ht="15.75" thickTop="1" x14ac:dyDescent="0.25">
      <c r="B180" s="381" t="s">
        <v>289</v>
      </c>
      <c r="C180" s="382" t="s">
        <v>482</v>
      </c>
      <c r="D180" s="307" t="s">
        <v>345</v>
      </c>
      <c r="E180" s="307">
        <v>1</v>
      </c>
      <c r="F180" s="308">
        <v>9844</v>
      </c>
      <c r="G180" s="308">
        <f>E180*F180</f>
        <v>9844</v>
      </c>
    </row>
    <row r="181" spans="2:7" x14ac:dyDescent="0.25">
      <c r="B181" s="323" t="s">
        <v>291</v>
      </c>
      <c r="C181" s="383"/>
      <c r="D181" s="325"/>
      <c r="E181" s="364"/>
      <c r="F181" s="326"/>
      <c r="G181" s="326"/>
    </row>
    <row r="182" spans="2:7" x14ac:dyDescent="0.25">
      <c r="B182" s="323" t="s">
        <v>293</v>
      </c>
      <c r="C182" s="411"/>
      <c r="D182" s="325"/>
      <c r="E182" s="329"/>
      <c r="F182" s="330"/>
      <c r="G182" s="326"/>
    </row>
    <row r="183" spans="2:7" x14ac:dyDescent="0.25">
      <c r="D183" s="934" t="s">
        <v>404</v>
      </c>
      <c r="E183" s="934"/>
      <c r="F183" s="335"/>
      <c r="G183" s="336"/>
    </row>
    <row r="184" spans="2:7" x14ac:dyDescent="0.25">
      <c r="D184" s="935" t="s">
        <v>405</v>
      </c>
      <c r="E184" s="935"/>
      <c r="F184" s="337"/>
      <c r="G184" s="338"/>
    </row>
    <row r="185" spans="2:7" ht="15.75" thickBot="1" x14ac:dyDescent="0.3">
      <c r="D185" s="936" t="s">
        <v>406</v>
      </c>
      <c r="E185" s="936"/>
      <c r="F185" s="339"/>
      <c r="G185" s="292">
        <f>SUM(G180:G182)</f>
        <v>9844</v>
      </c>
    </row>
    <row r="186" spans="2:7" ht="16.5" thickTop="1" thickBot="1" x14ac:dyDescent="0.3"/>
    <row r="187" spans="2:7" ht="16.5" thickTop="1" thickBot="1" x14ac:dyDescent="0.3">
      <c r="B187" s="290" t="s">
        <v>407</v>
      </c>
      <c r="C187" s="933" t="s">
        <v>408</v>
      </c>
      <c r="D187" s="933"/>
      <c r="E187" s="933"/>
      <c r="F187" s="933"/>
      <c r="G187" s="933"/>
    </row>
    <row r="188" spans="2:7" ht="15.75" thickTop="1" x14ac:dyDescent="0.25">
      <c r="B188" s="291"/>
      <c r="C188" s="290"/>
      <c r="D188" s="290"/>
      <c r="E188" s="290" t="s">
        <v>52</v>
      </c>
      <c r="F188" s="290" t="s">
        <v>388</v>
      </c>
      <c r="G188" s="290" t="s">
        <v>122</v>
      </c>
    </row>
    <row r="189" spans="2:7" x14ac:dyDescent="0.25">
      <c r="B189" s="293"/>
      <c r="C189" s="294" t="s">
        <v>8</v>
      </c>
      <c r="D189" s="294" t="s">
        <v>389</v>
      </c>
      <c r="E189" s="294" t="s">
        <v>409</v>
      </c>
      <c r="F189" s="294" t="s">
        <v>391</v>
      </c>
      <c r="G189" s="294" t="s">
        <v>392</v>
      </c>
    </row>
    <row r="190" spans="2:7" ht="15.75" thickBot="1" x14ac:dyDescent="0.3">
      <c r="B190" s="295"/>
      <c r="C190" s="295"/>
      <c r="D190" s="296" t="s">
        <v>410</v>
      </c>
      <c r="E190" s="296" t="s">
        <v>411</v>
      </c>
      <c r="F190" s="296" t="s">
        <v>412</v>
      </c>
      <c r="G190" s="296" t="s">
        <v>413</v>
      </c>
    </row>
    <row r="191" spans="2:7" ht="15.75" thickTop="1" x14ac:dyDescent="0.25">
      <c r="B191" s="340" t="s">
        <v>296</v>
      </c>
      <c r="C191" s="341" t="s">
        <v>414</v>
      </c>
      <c r="D191" s="342">
        <v>1</v>
      </c>
      <c r="E191" s="326">
        <v>48802</v>
      </c>
      <c r="F191" s="325">
        <v>40</v>
      </c>
      <c r="G191" s="326">
        <f>ROUND(D191*E191/F191,0)</f>
        <v>1220</v>
      </c>
    </row>
    <row r="192" spans="2:7" ht="15.75" thickBot="1" x14ac:dyDescent="0.3">
      <c r="B192" s="343"/>
      <c r="C192" s="344"/>
      <c r="D192" s="342"/>
      <c r="E192" s="301"/>
      <c r="F192" s="325"/>
      <c r="G192" s="326"/>
    </row>
    <row r="193" spans="2:9" ht="16.5" thickTop="1" thickBot="1" x14ac:dyDescent="0.3">
      <c r="F193" s="314" t="s">
        <v>398</v>
      </c>
      <c r="G193" s="315">
        <f>SUM(G191:G192)</f>
        <v>1220</v>
      </c>
    </row>
    <row r="194" spans="2:9" ht="16.5" thickTop="1" thickBot="1" x14ac:dyDescent="0.3"/>
    <row r="195" spans="2:9" ht="16.5" thickTop="1" thickBot="1" x14ac:dyDescent="0.3">
      <c r="B195" s="290" t="s">
        <v>303</v>
      </c>
      <c r="C195" s="933" t="s">
        <v>416</v>
      </c>
      <c r="D195" s="933"/>
      <c r="E195" s="933"/>
      <c r="F195" s="933"/>
      <c r="G195" s="933"/>
    </row>
    <row r="196" spans="2:9" ht="15.75" thickTop="1" x14ac:dyDescent="0.25">
      <c r="B196" s="291"/>
      <c r="C196" s="290"/>
      <c r="D196" s="290"/>
      <c r="E196" s="290"/>
      <c r="F196" s="290"/>
      <c r="G196" s="290" t="s">
        <v>122</v>
      </c>
    </row>
    <row r="197" spans="2:9" x14ac:dyDescent="0.25">
      <c r="B197" s="293"/>
      <c r="C197" s="294" t="s">
        <v>8</v>
      </c>
      <c r="D197" s="294" t="s">
        <v>389</v>
      </c>
      <c r="E197" s="294" t="s">
        <v>182</v>
      </c>
      <c r="F197" s="294" t="s">
        <v>388</v>
      </c>
      <c r="G197" s="294" t="s">
        <v>392</v>
      </c>
    </row>
    <row r="198" spans="2:9" ht="15.75" thickBot="1" x14ac:dyDescent="0.3">
      <c r="B198" s="295"/>
      <c r="C198" s="295"/>
      <c r="D198" s="296" t="s">
        <v>417</v>
      </c>
      <c r="E198" s="296" t="s">
        <v>418</v>
      </c>
      <c r="F198" s="296" t="s">
        <v>419</v>
      </c>
      <c r="G198" s="296" t="s">
        <v>420</v>
      </c>
    </row>
    <row r="199" spans="2:9" ht="15.75" thickTop="1" x14ac:dyDescent="0.25">
      <c r="B199" s="347"/>
      <c r="C199" s="348"/>
      <c r="D199" s="349"/>
      <c r="E199" s="350"/>
      <c r="F199" s="349"/>
      <c r="G199" s="326"/>
    </row>
    <row r="200" spans="2:9" ht="15.75" thickBot="1" x14ac:dyDescent="0.3">
      <c r="B200" s="331"/>
      <c r="C200" s="351"/>
      <c r="D200" s="299"/>
      <c r="E200" s="299"/>
      <c r="F200" s="299"/>
      <c r="G200" s="292"/>
    </row>
    <row r="201" spans="2:9" ht="16.5" thickTop="1" thickBot="1" x14ac:dyDescent="0.3">
      <c r="F201" s="314" t="s">
        <v>398</v>
      </c>
      <c r="G201" s="315">
        <f>SUM(G199:G200)</f>
        <v>0</v>
      </c>
    </row>
    <row r="202" spans="2:9" ht="16.5" thickTop="1" thickBot="1" x14ac:dyDescent="0.3">
      <c r="G202" s="269"/>
    </row>
    <row r="203" spans="2:9" ht="16.5" thickTop="1" thickBot="1" x14ac:dyDescent="0.3">
      <c r="B203" s="928" t="s">
        <v>422</v>
      </c>
      <c r="C203" s="929"/>
      <c r="D203" s="929"/>
      <c r="E203" s="929"/>
      <c r="F203" s="352"/>
      <c r="G203" s="353">
        <f>G174+G185+G193+G201</f>
        <v>11064</v>
      </c>
      <c r="I203" s="313">
        <f>I205-G205</f>
        <v>0</v>
      </c>
    </row>
    <row r="204" spans="2:9" ht="16.5" thickTop="1" thickBot="1" x14ac:dyDescent="0.3">
      <c r="B204" s="930" t="s">
        <v>423</v>
      </c>
      <c r="C204" s="931"/>
      <c r="D204" s="931"/>
      <c r="E204" s="931"/>
      <c r="F204" s="354">
        <v>0</v>
      </c>
      <c r="G204" s="355"/>
    </row>
    <row r="205" spans="2:9" ht="16.5" thickTop="1" thickBot="1" x14ac:dyDescent="0.3">
      <c r="B205" s="356" t="s">
        <v>424</v>
      </c>
      <c r="C205" s="357"/>
      <c r="D205" s="357"/>
      <c r="E205" s="357"/>
      <c r="F205" s="358"/>
      <c r="G205" s="359">
        <f>G203</f>
        <v>11064</v>
      </c>
      <c r="I205" s="5">
        <v>11064</v>
      </c>
    </row>
    <row r="206" spans="2:9" ht="15.75" thickTop="1" x14ac:dyDescent="0.25">
      <c r="B206" s="376"/>
      <c r="C206" s="376"/>
      <c r="D206" s="376"/>
      <c r="E206" s="376"/>
      <c r="F206" s="377"/>
      <c r="G206" s="378"/>
    </row>
    <row r="207" spans="2:9" x14ac:dyDescent="0.25">
      <c r="B207" s="376"/>
      <c r="C207" s="376"/>
      <c r="D207" s="376"/>
      <c r="E207" s="376"/>
      <c r="F207" s="377"/>
      <c r="G207" s="378"/>
    </row>
    <row r="208" spans="2:9" x14ac:dyDescent="0.25">
      <c r="B208" s="376"/>
      <c r="C208" s="362" t="s">
        <v>425</v>
      </c>
      <c r="G208" s="378"/>
    </row>
    <row r="209" spans="1:8" ht="15" customHeight="1" x14ac:dyDescent="0.25">
      <c r="B209" s="241"/>
      <c r="C209" s="932" t="s">
        <v>621</v>
      </c>
      <c r="D209" s="932"/>
      <c r="E209" s="932"/>
      <c r="F209" s="932"/>
      <c r="G209" s="361"/>
    </row>
    <row r="210" spans="1:8" ht="68.25" customHeight="1" thickBot="1" x14ac:dyDescent="0.3"/>
    <row r="211" spans="1:8" ht="15.75" thickTop="1" x14ac:dyDescent="0.25">
      <c r="A211" s="940" t="s">
        <v>378</v>
      </c>
      <c r="B211" s="941"/>
      <c r="C211" s="941"/>
      <c r="D211" s="941"/>
      <c r="E211" s="941"/>
      <c r="F211" s="941"/>
      <c r="G211" s="941"/>
      <c r="H211" s="942"/>
    </row>
    <row r="212" spans="1:8" x14ac:dyDescent="0.25">
      <c r="A212" s="943" t="s">
        <v>379</v>
      </c>
      <c r="B212" s="944"/>
      <c r="C212" s="944"/>
      <c r="D212" s="944"/>
      <c r="E212" s="944"/>
      <c r="F212" s="944"/>
      <c r="G212" s="944"/>
      <c r="H212" s="945"/>
    </row>
    <row r="213" spans="1:8" ht="15.75" thickBot="1" x14ac:dyDescent="0.3">
      <c r="A213" s="946" t="s">
        <v>261</v>
      </c>
      <c r="B213" s="947"/>
      <c r="C213" s="947"/>
      <c r="D213" s="947"/>
      <c r="E213" s="947"/>
      <c r="F213" s="947"/>
      <c r="G213" s="947"/>
      <c r="H213" s="948"/>
    </row>
    <row r="214" spans="1:8" ht="16.5" thickTop="1" thickBot="1" x14ac:dyDescent="0.3">
      <c r="A214" s="949" t="s">
        <v>30</v>
      </c>
      <c r="B214" s="950"/>
      <c r="C214" s="950"/>
      <c r="D214" s="950"/>
      <c r="E214" s="950"/>
      <c r="F214" s="950"/>
      <c r="G214" s="950"/>
      <c r="H214" s="951"/>
    </row>
    <row r="215" spans="1:8" ht="15.75" thickTop="1" x14ac:dyDescent="0.25">
      <c r="A215" s="277" t="s">
        <v>380</v>
      </c>
      <c r="B215" s="952" t="s">
        <v>460</v>
      </c>
      <c r="C215" s="952"/>
      <c r="D215" s="952"/>
      <c r="E215" s="952"/>
      <c r="F215" s="952"/>
      <c r="G215" s="278"/>
      <c r="H215" s="279"/>
    </row>
    <row r="216" spans="1:8" x14ac:dyDescent="0.25">
      <c r="A216" s="280" t="s">
        <v>382</v>
      </c>
      <c r="B216" s="408" t="s">
        <v>303</v>
      </c>
      <c r="C216" s="281" t="str">
        <f>'[3]REPOSICION INTERSECCION'!B25</f>
        <v>POSTES Y CABLEADO</v>
      </c>
      <c r="D216" s="281"/>
      <c r="E216" s="282"/>
      <c r="F216" s="283" t="s">
        <v>383</v>
      </c>
      <c r="G216" s="284" t="s">
        <v>302</v>
      </c>
      <c r="H216" s="285"/>
    </row>
    <row r="217" spans="1:8" ht="23.25" customHeight="1" thickBot="1" x14ac:dyDescent="0.3">
      <c r="A217" s="286" t="s">
        <v>384</v>
      </c>
      <c r="B217" s="287" t="s">
        <v>314</v>
      </c>
      <c r="C217" s="960" t="s">
        <v>315</v>
      </c>
      <c r="D217" s="960"/>
      <c r="E217" s="960"/>
      <c r="F217" s="288" t="s">
        <v>385</v>
      </c>
      <c r="G217" s="287" t="s">
        <v>620</v>
      </c>
      <c r="H217" s="289"/>
    </row>
    <row r="218" spans="1:8" ht="16.5" thickTop="1" thickBot="1" x14ac:dyDescent="0.3"/>
    <row r="219" spans="1:8" ht="16.5" thickTop="1" thickBot="1" x14ac:dyDescent="0.3">
      <c r="B219" s="290" t="s">
        <v>183</v>
      </c>
      <c r="C219" s="937" t="s">
        <v>386</v>
      </c>
      <c r="D219" s="938"/>
      <c r="E219" s="938"/>
      <c r="F219" s="938"/>
      <c r="G219" s="939"/>
    </row>
    <row r="220" spans="1:8" ht="15.75" thickTop="1" x14ac:dyDescent="0.25">
      <c r="B220" s="291"/>
      <c r="C220" s="290"/>
      <c r="D220" s="290"/>
      <c r="E220" s="290" t="s">
        <v>387</v>
      </c>
      <c r="F220" s="290" t="s">
        <v>388</v>
      </c>
      <c r="G220" s="290" t="s">
        <v>122</v>
      </c>
    </row>
    <row r="221" spans="1:8" x14ac:dyDescent="0.25">
      <c r="B221" s="293"/>
      <c r="C221" s="294" t="s">
        <v>8</v>
      </c>
      <c r="D221" s="294" t="s">
        <v>389</v>
      </c>
      <c r="E221" s="294" t="s">
        <v>390</v>
      </c>
      <c r="F221" s="294" t="s">
        <v>391</v>
      </c>
      <c r="G221" s="294" t="s">
        <v>392</v>
      </c>
    </row>
    <row r="222" spans="1:8" ht="15.75" thickBot="1" x14ac:dyDescent="0.3">
      <c r="B222" s="295"/>
      <c r="C222" s="295"/>
      <c r="D222" s="296" t="s">
        <v>393</v>
      </c>
      <c r="E222" s="296" t="s">
        <v>394</v>
      </c>
      <c r="F222" s="296" t="s">
        <v>395</v>
      </c>
      <c r="G222" s="296" t="s">
        <v>396</v>
      </c>
    </row>
    <row r="223" spans="1:8" ht="16.5" thickTop="1" thickBot="1" x14ac:dyDescent="0.3">
      <c r="B223" s="297"/>
      <c r="C223" s="298"/>
      <c r="D223" s="299"/>
      <c r="E223" s="292"/>
      <c r="F223" s="300"/>
      <c r="G223" s="301"/>
    </row>
    <row r="224" spans="1:8" ht="15.75" thickTop="1" x14ac:dyDescent="0.25">
      <c r="B224" s="305"/>
      <c r="C224" s="310"/>
      <c r="D224" s="300"/>
      <c r="E224" s="363"/>
      <c r="F224" s="300"/>
      <c r="G224" s="301"/>
    </row>
    <row r="225" spans="2:7" ht="15.75" thickBot="1" x14ac:dyDescent="0.3">
      <c r="B225" s="297"/>
      <c r="C225" s="298"/>
      <c r="D225" s="299"/>
      <c r="E225" s="292"/>
      <c r="F225" s="300"/>
      <c r="G225" s="301"/>
    </row>
    <row r="226" spans="2:7" ht="16.5" thickTop="1" thickBot="1" x14ac:dyDescent="0.3">
      <c r="F226" s="314" t="s">
        <v>398</v>
      </c>
      <c r="G226" s="315">
        <f>SUM(G223:G225)</f>
        <v>0</v>
      </c>
    </row>
    <row r="227" spans="2:7" ht="16.5" thickTop="1" thickBot="1" x14ac:dyDescent="0.3"/>
    <row r="228" spans="2:7" ht="16.5" thickTop="1" thickBot="1" x14ac:dyDescent="0.3">
      <c r="B228" s="317" t="s">
        <v>192</v>
      </c>
      <c r="C228" s="933" t="s">
        <v>399</v>
      </c>
      <c r="D228" s="933"/>
      <c r="E228" s="933"/>
      <c r="F228" s="933"/>
      <c r="G228" s="933"/>
    </row>
    <row r="229" spans="2:7" ht="15.75" thickTop="1" x14ac:dyDescent="0.25">
      <c r="B229" s="318"/>
      <c r="C229" s="290"/>
      <c r="D229" s="290"/>
      <c r="E229" s="290"/>
      <c r="F229" s="290" t="s">
        <v>122</v>
      </c>
      <c r="G229" s="290" t="s">
        <v>122</v>
      </c>
    </row>
    <row r="230" spans="2:7" x14ac:dyDescent="0.25">
      <c r="B230" s="319"/>
      <c r="C230" s="294" t="s">
        <v>8</v>
      </c>
      <c r="D230" s="294" t="s">
        <v>169</v>
      </c>
      <c r="E230" s="294" t="s">
        <v>0</v>
      </c>
      <c r="F230" s="294" t="s">
        <v>400</v>
      </c>
      <c r="G230" s="294" t="s">
        <v>392</v>
      </c>
    </row>
    <row r="231" spans="2:7" ht="15.75" thickBot="1" x14ac:dyDescent="0.3">
      <c r="B231" s="320"/>
      <c r="C231" s="295"/>
      <c r="D231" s="321"/>
      <c r="E231" s="296" t="s">
        <v>401</v>
      </c>
      <c r="F231" s="296" t="s">
        <v>402</v>
      </c>
      <c r="G231" s="296" t="s">
        <v>403</v>
      </c>
    </row>
    <row r="232" spans="2:7" ht="15.75" thickTop="1" x14ac:dyDescent="0.25">
      <c r="B232" s="381" t="s">
        <v>289</v>
      </c>
      <c r="C232" s="382" t="s">
        <v>483</v>
      </c>
      <c r="D232" s="307" t="s">
        <v>345</v>
      </c>
      <c r="E232" s="307">
        <v>1</v>
      </c>
      <c r="F232" s="308">
        <v>23736</v>
      </c>
      <c r="G232" s="308">
        <f>E232*F232</f>
        <v>23736</v>
      </c>
    </row>
    <row r="233" spans="2:7" x14ac:dyDescent="0.25">
      <c r="B233" s="323"/>
      <c r="C233" s="324"/>
      <c r="D233" s="325"/>
      <c r="E233" s="420"/>
      <c r="F233" s="326"/>
      <c r="G233" s="326"/>
    </row>
    <row r="234" spans="2:7" ht="15.75" thickBot="1" x14ac:dyDescent="0.3">
      <c r="B234" s="415"/>
      <c r="C234" s="332"/>
      <c r="D234" s="299"/>
      <c r="E234" s="333"/>
      <c r="F234" s="334"/>
      <c r="G234" s="292"/>
    </row>
    <row r="235" spans="2:7" ht="15.75" thickTop="1" x14ac:dyDescent="0.25">
      <c r="D235" s="934" t="s">
        <v>404</v>
      </c>
      <c r="E235" s="934"/>
      <c r="F235" s="335"/>
      <c r="G235" s="336"/>
    </row>
    <row r="236" spans="2:7" x14ac:dyDescent="0.25">
      <c r="D236" s="935" t="s">
        <v>405</v>
      </c>
      <c r="E236" s="935"/>
      <c r="F236" s="337"/>
      <c r="G236" s="338"/>
    </row>
    <row r="237" spans="2:7" ht="15.75" thickBot="1" x14ac:dyDescent="0.3">
      <c r="D237" s="936" t="s">
        <v>406</v>
      </c>
      <c r="E237" s="936"/>
      <c r="F237" s="339"/>
      <c r="G237" s="292">
        <f>SUM(G232:G234)</f>
        <v>23736</v>
      </c>
    </row>
    <row r="238" spans="2:7" ht="16.5" thickTop="1" thickBot="1" x14ac:dyDescent="0.3"/>
    <row r="239" spans="2:7" ht="16.5" thickTop="1" thickBot="1" x14ac:dyDescent="0.3">
      <c r="B239" s="290" t="s">
        <v>407</v>
      </c>
      <c r="C239" s="933" t="s">
        <v>408</v>
      </c>
      <c r="D239" s="933"/>
      <c r="E239" s="933"/>
      <c r="F239" s="933"/>
      <c r="G239" s="933"/>
    </row>
    <row r="240" spans="2:7" ht="15.75" thickTop="1" x14ac:dyDescent="0.25">
      <c r="B240" s="291"/>
      <c r="C240" s="290"/>
      <c r="D240" s="290"/>
      <c r="E240" s="290" t="s">
        <v>52</v>
      </c>
      <c r="F240" s="290" t="s">
        <v>388</v>
      </c>
      <c r="G240" s="290" t="s">
        <v>122</v>
      </c>
    </row>
    <row r="241" spans="2:9" x14ac:dyDescent="0.25">
      <c r="B241" s="293"/>
      <c r="C241" s="294" t="s">
        <v>8</v>
      </c>
      <c r="D241" s="294" t="s">
        <v>389</v>
      </c>
      <c r="E241" s="294" t="s">
        <v>409</v>
      </c>
      <c r="F241" s="294" t="s">
        <v>391</v>
      </c>
      <c r="G241" s="294" t="s">
        <v>392</v>
      </c>
    </row>
    <row r="242" spans="2:9" ht="15.75" thickBot="1" x14ac:dyDescent="0.3">
      <c r="B242" s="295"/>
      <c r="C242" s="295"/>
      <c r="D242" s="296" t="s">
        <v>410</v>
      </c>
      <c r="E242" s="296" t="s">
        <v>411</v>
      </c>
      <c r="F242" s="296" t="s">
        <v>412</v>
      </c>
      <c r="G242" s="296" t="s">
        <v>413</v>
      </c>
    </row>
    <row r="243" spans="2:9" ht="15.75" thickTop="1" x14ac:dyDescent="0.25">
      <c r="B243" s="340" t="s">
        <v>296</v>
      </c>
      <c r="C243" s="341" t="s">
        <v>414</v>
      </c>
      <c r="D243" s="342">
        <v>1</v>
      </c>
      <c r="E243" s="326">
        <v>48802</v>
      </c>
      <c r="F243" s="325">
        <v>40</v>
      </c>
      <c r="G243" s="326">
        <f>ROUND(D243*E243/F243,0)</f>
        <v>1220</v>
      </c>
    </row>
    <row r="244" spans="2:9" ht="15.75" thickBot="1" x14ac:dyDescent="0.3">
      <c r="B244" s="343"/>
      <c r="C244" s="344"/>
      <c r="D244" s="342"/>
      <c r="E244" s="301"/>
      <c r="F244" s="325"/>
      <c r="G244" s="326"/>
    </row>
    <row r="245" spans="2:9" ht="16.5" thickTop="1" thickBot="1" x14ac:dyDescent="0.3">
      <c r="F245" s="314" t="s">
        <v>398</v>
      </c>
      <c r="G245" s="315">
        <f>SUM(G243:G244)</f>
        <v>1220</v>
      </c>
    </row>
    <row r="246" spans="2:9" ht="16.5" thickTop="1" thickBot="1" x14ac:dyDescent="0.3"/>
    <row r="247" spans="2:9" ht="16.5" thickTop="1" thickBot="1" x14ac:dyDescent="0.3">
      <c r="B247" s="290" t="s">
        <v>303</v>
      </c>
      <c r="C247" s="933" t="s">
        <v>416</v>
      </c>
      <c r="D247" s="933"/>
      <c r="E247" s="933"/>
      <c r="F247" s="933"/>
      <c r="G247" s="933"/>
    </row>
    <row r="248" spans="2:9" ht="15.75" thickTop="1" x14ac:dyDescent="0.25">
      <c r="B248" s="291"/>
      <c r="C248" s="290"/>
      <c r="D248" s="290"/>
      <c r="E248" s="290"/>
      <c r="F248" s="290"/>
      <c r="G248" s="290" t="s">
        <v>122</v>
      </c>
    </row>
    <row r="249" spans="2:9" x14ac:dyDescent="0.25">
      <c r="B249" s="293"/>
      <c r="C249" s="294" t="s">
        <v>8</v>
      </c>
      <c r="D249" s="294" t="s">
        <v>389</v>
      </c>
      <c r="E249" s="294" t="s">
        <v>182</v>
      </c>
      <c r="F249" s="294" t="s">
        <v>388</v>
      </c>
      <c r="G249" s="294" t="s">
        <v>392</v>
      </c>
    </row>
    <row r="250" spans="2:9" ht="15.75" thickBot="1" x14ac:dyDescent="0.3">
      <c r="B250" s="295"/>
      <c r="C250" s="295"/>
      <c r="D250" s="296" t="s">
        <v>417</v>
      </c>
      <c r="E250" s="296" t="s">
        <v>418</v>
      </c>
      <c r="F250" s="296" t="s">
        <v>419</v>
      </c>
      <c r="G250" s="296" t="s">
        <v>420</v>
      </c>
    </row>
    <row r="251" spans="2:9" ht="15.75" thickTop="1" x14ac:dyDescent="0.25">
      <c r="B251" s="347"/>
      <c r="C251" s="348"/>
      <c r="D251" s="349"/>
      <c r="E251" s="350"/>
      <c r="F251" s="349"/>
      <c r="G251" s="326"/>
    </row>
    <row r="252" spans="2:9" ht="15.75" thickBot="1" x14ac:dyDescent="0.3">
      <c r="B252" s="331"/>
      <c r="C252" s="351"/>
      <c r="D252" s="299"/>
      <c r="E252" s="299"/>
      <c r="F252" s="299"/>
      <c r="G252" s="292"/>
    </row>
    <row r="253" spans="2:9" ht="16.5" thickTop="1" thickBot="1" x14ac:dyDescent="0.3">
      <c r="F253" s="314" t="s">
        <v>398</v>
      </c>
      <c r="G253" s="315">
        <f>SUM(G251:G252)</f>
        <v>0</v>
      </c>
    </row>
    <row r="254" spans="2:9" ht="16.5" thickTop="1" thickBot="1" x14ac:dyDescent="0.3">
      <c r="G254" s="269"/>
      <c r="I254" s="313">
        <f>I255-G257</f>
        <v>0</v>
      </c>
    </row>
    <row r="255" spans="2:9" ht="16.5" thickTop="1" thickBot="1" x14ac:dyDescent="0.3">
      <c r="B255" s="928" t="s">
        <v>422</v>
      </c>
      <c r="C255" s="929"/>
      <c r="D255" s="929"/>
      <c r="E255" s="929"/>
      <c r="F255" s="352"/>
      <c r="G255" s="353">
        <f>G226+G237+G245+G253</f>
        <v>24956</v>
      </c>
      <c r="I255" s="5">
        <v>24956</v>
      </c>
    </row>
    <row r="256" spans="2:9" ht="16.5" thickTop="1" thickBot="1" x14ac:dyDescent="0.3">
      <c r="B256" s="930" t="s">
        <v>423</v>
      </c>
      <c r="C256" s="931"/>
      <c r="D256" s="931"/>
      <c r="E256" s="931"/>
      <c r="F256" s="354">
        <v>0</v>
      </c>
      <c r="G256" s="355"/>
    </row>
    <row r="257" spans="1:8" ht="16.5" thickTop="1" thickBot="1" x14ac:dyDescent="0.3">
      <c r="B257" s="356" t="s">
        <v>424</v>
      </c>
      <c r="C257" s="357"/>
      <c r="D257" s="357"/>
      <c r="E257" s="357"/>
      <c r="F257" s="358"/>
      <c r="G257" s="359">
        <f>G255</f>
        <v>24956</v>
      </c>
    </row>
    <row r="258" spans="1:8" ht="15.75" thickTop="1" x14ac:dyDescent="0.25">
      <c r="B258" s="376"/>
      <c r="C258" s="376"/>
      <c r="D258" s="376"/>
      <c r="E258" s="376"/>
      <c r="F258" s="377"/>
      <c r="G258" s="378"/>
    </row>
    <row r="259" spans="1:8" x14ac:dyDescent="0.25">
      <c r="B259" s="376"/>
      <c r="C259" s="376"/>
      <c r="D259" s="376"/>
      <c r="E259" s="376"/>
      <c r="F259" s="377"/>
      <c r="G259" s="378"/>
    </row>
    <row r="260" spans="1:8" x14ac:dyDescent="0.25">
      <c r="B260" s="376"/>
      <c r="C260" s="362" t="s">
        <v>425</v>
      </c>
      <c r="G260" s="378"/>
    </row>
    <row r="261" spans="1:8" ht="15" customHeight="1" x14ac:dyDescent="0.25">
      <c r="B261" s="376"/>
      <c r="C261" s="932" t="s">
        <v>621</v>
      </c>
      <c r="D261" s="932"/>
      <c r="E261" s="932"/>
      <c r="F261" s="932"/>
      <c r="G261" s="378"/>
    </row>
    <row r="262" spans="1:8" x14ac:dyDescent="0.25">
      <c r="B262" s="376"/>
      <c r="C262" s="379"/>
      <c r="D262" s="379"/>
      <c r="E262" s="379"/>
      <c r="F262" s="379"/>
      <c r="G262" s="378"/>
    </row>
    <row r="263" spans="1:8" x14ac:dyDescent="0.25">
      <c r="B263" s="376"/>
      <c r="C263" s="379"/>
      <c r="D263" s="379"/>
      <c r="E263" s="379"/>
      <c r="F263" s="379"/>
      <c r="G263" s="378"/>
    </row>
    <row r="264" spans="1:8" x14ac:dyDescent="0.25">
      <c r="B264" s="376"/>
      <c r="C264" s="379"/>
      <c r="D264" s="379"/>
      <c r="E264" s="379"/>
      <c r="F264" s="379"/>
      <c r="G264" s="378"/>
    </row>
    <row r="265" spans="1:8" x14ac:dyDescent="0.25">
      <c r="B265" s="376"/>
      <c r="C265" s="379"/>
      <c r="D265" s="379"/>
      <c r="E265" s="379"/>
      <c r="F265" s="379"/>
      <c r="G265" s="378"/>
    </row>
    <row r="266" spans="1:8" ht="15.75" thickBot="1" x14ac:dyDescent="0.3"/>
    <row r="267" spans="1:8" ht="15.75" thickTop="1" x14ac:dyDescent="0.25">
      <c r="A267" s="940" t="s">
        <v>378</v>
      </c>
      <c r="B267" s="941"/>
      <c r="C267" s="941"/>
      <c r="D267" s="941"/>
      <c r="E267" s="941"/>
      <c r="F267" s="941"/>
      <c r="G267" s="941"/>
      <c r="H267" s="942"/>
    </row>
    <row r="268" spans="1:8" x14ac:dyDescent="0.25">
      <c r="A268" s="943" t="s">
        <v>379</v>
      </c>
      <c r="B268" s="944"/>
      <c r="C268" s="944"/>
      <c r="D268" s="944"/>
      <c r="E268" s="944"/>
      <c r="F268" s="944"/>
      <c r="G268" s="944"/>
      <c r="H268" s="945"/>
    </row>
    <row r="269" spans="1:8" ht="15.75" thickBot="1" x14ac:dyDescent="0.3">
      <c r="A269" s="946" t="s">
        <v>261</v>
      </c>
      <c r="B269" s="947"/>
      <c r="C269" s="947"/>
      <c r="D269" s="947"/>
      <c r="E269" s="947"/>
      <c r="F269" s="947"/>
      <c r="G269" s="947"/>
      <c r="H269" s="948"/>
    </row>
    <row r="270" spans="1:8" ht="16.5" thickTop="1" thickBot="1" x14ac:dyDescent="0.3">
      <c r="A270" s="949" t="s">
        <v>30</v>
      </c>
      <c r="B270" s="950"/>
      <c r="C270" s="950"/>
      <c r="D270" s="950"/>
      <c r="E270" s="950"/>
      <c r="F270" s="950"/>
      <c r="G270" s="950"/>
      <c r="H270" s="951"/>
    </row>
    <row r="271" spans="1:8" ht="15.75" thickTop="1" x14ac:dyDescent="0.25">
      <c r="A271" s="277" t="s">
        <v>380</v>
      </c>
      <c r="B271" s="952" t="s">
        <v>460</v>
      </c>
      <c r="C271" s="952"/>
      <c r="D271" s="952"/>
      <c r="E271" s="952"/>
      <c r="F271" s="952"/>
      <c r="G271" s="278"/>
      <c r="H271" s="279"/>
    </row>
    <row r="272" spans="1:8" x14ac:dyDescent="0.25">
      <c r="A272" s="280" t="s">
        <v>382</v>
      </c>
      <c r="B272" s="408">
        <v>4</v>
      </c>
      <c r="C272" s="281" t="str">
        <f>'[3]REPOSICION INTERSECCION'!B25</f>
        <v>POSTES Y CABLEADO</v>
      </c>
      <c r="D272" s="281"/>
      <c r="E272" s="282"/>
      <c r="F272" s="283" t="s">
        <v>383</v>
      </c>
      <c r="G272" s="284" t="s">
        <v>169</v>
      </c>
      <c r="H272" s="285"/>
    </row>
    <row r="273" spans="1:8" ht="15.75" thickBot="1" x14ac:dyDescent="0.3">
      <c r="A273" s="286" t="s">
        <v>384</v>
      </c>
      <c r="B273" s="287" t="s">
        <v>316</v>
      </c>
      <c r="C273" s="953" t="str">
        <f>'[3]REPOSICION INTERSECCION'!B31</f>
        <v>SUMINSTRO E INSTALACION DE TUBO EN ACERO-GALVANIZADO DE 3MTS 1" CON CAPACETE, CAJA PARA BREAKER Y BREAKER DE 30 AMP., PARA LA ACOMETIDA (ALIMENTACION ELECTRICA DE A.C).</v>
      </c>
      <c r="D273" s="953"/>
      <c r="E273" s="953"/>
      <c r="F273" s="288" t="s">
        <v>385</v>
      </c>
      <c r="G273" s="287" t="s">
        <v>620</v>
      </c>
      <c r="H273" s="289"/>
    </row>
    <row r="274" spans="1:8" ht="16.5" thickTop="1" thickBot="1" x14ac:dyDescent="0.3"/>
    <row r="275" spans="1:8" ht="16.5" thickTop="1" thickBot="1" x14ac:dyDescent="0.3">
      <c r="B275" s="290" t="s">
        <v>183</v>
      </c>
      <c r="C275" s="937" t="s">
        <v>386</v>
      </c>
      <c r="D275" s="938"/>
      <c r="E275" s="938"/>
      <c r="F275" s="938"/>
      <c r="G275" s="939"/>
    </row>
    <row r="276" spans="1:8" ht="15.75" thickTop="1" x14ac:dyDescent="0.25">
      <c r="B276" s="291"/>
      <c r="C276" s="290"/>
      <c r="D276" s="290"/>
      <c r="E276" s="290" t="s">
        <v>387</v>
      </c>
      <c r="F276" s="290" t="s">
        <v>388</v>
      </c>
      <c r="G276" s="290" t="s">
        <v>122</v>
      </c>
    </row>
    <row r="277" spans="1:8" x14ac:dyDescent="0.25">
      <c r="B277" s="293"/>
      <c r="C277" s="294" t="s">
        <v>8</v>
      </c>
      <c r="D277" s="294" t="s">
        <v>389</v>
      </c>
      <c r="E277" s="294" t="s">
        <v>390</v>
      </c>
      <c r="F277" s="294" t="s">
        <v>391</v>
      </c>
      <c r="G277" s="294" t="s">
        <v>392</v>
      </c>
    </row>
    <row r="278" spans="1:8" ht="15.75" thickBot="1" x14ac:dyDescent="0.3">
      <c r="B278" s="295"/>
      <c r="C278" s="295"/>
      <c r="D278" s="296" t="s">
        <v>393</v>
      </c>
      <c r="E278" s="296" t="s">
        <v>394</v>
      </c>
      <c r="F278" s="296" t="s">
        <v>395</v>
      </c>
      <c r="G278" s="296" t="s">
        <v>396</v>
      </c>
    </row>
    <row r="279" spans="1:8" ht="16.5" thickTop="1" thickBot="1" x14ac:dyDescent="0.3">
      <c r="B279" s="297" t="s">
        <v>185</v>
      </c>
      <c r="C279" s="298" t="s">
        <v>262</v>
      </c>
      <c r="D279" s="299">
        <v>1</v>
      </c>
      <c r="E279" s="292">
        <v>1990</v>
      </c>
      <c r="F279" s="300">
        <v>1</v>
      </c>
      <c r="G279" s="301">
        <f>D279*E279/F279</f>
        <v>1990</v>
      </c>
    </row>
    <row r="280" spans="1:8" ht="15.75" thickTop="1" x14ac:dyDescent="0.25">
      <c r="B280" s="305"/>
      <c r="C280" s="310"/>
      <c r="D280" s="300"/>
      <c r="E280" s="363"/>
      <c r="F280" s="300"/>
      <c r="G280" s="301"/>
    </row>
    <row r="281" spans="1:8" ht="15.75" thickBot="1" x14ac:dyDescent="0.3">
      <c r="B281" s="297"/>
      <c r="C281" s="298"/>
      <c r="D281" s="299"/>
      <c r="E281" s="292"/>
      <c r="F281" s="300"/>
      <c r="G281" s="301"/>
    </row>
    <row r="282" spans="1:8" ht="16.5" thickTop="1" thickBot="1" x14ac:dyDescent="0.3">
      <c r="F282" s="314" t="s">
        <v>398</v>
      </c>
      <c r="G282" s="315">
        <f>SUM(G279:G281)</f>
        <v>1990</v>
      </c>
    </row>
    <row r="283" spans="1:8" ht="16.5" thickTop="1" thickBot="1" x14ac:dyDescent="0.3"/>
    <row r="284" spans="1:8" ht="16.5" thickTop="1" thickBot="1" x14ac:dyDescent="0.3">
      <c r="B284" s="317" t="s">
        <v>192</v>
      </c>
      <c r="C284" s="933" t="s">
        <v>399</v>
      </c>
      <c r="D284" s="933"/>
      <c r="E284" s="933"/>
      <c r="F284" s="933"/>
      <c r="G284" s="933"/>
    </row>
    <row r="285" spans="1:8" ht="15.75" thickTop="1" x14ac:dyDescent="0.25">
      <c r="B285" s="318"/>
      <c r="C285" s="290"/>
      <c r="D285" s="290"/>
      <c r="E285" s="290"/>
      <c r="F285" s="290" t="s">
        <v>122</v>
      </c>
      <c r="G285" s="290" t="s">
        <v>122</v>
      </c>
    </row>
    <row r="286" spans="1:8" x14ac:dyDescent="0.25">
      <c r="B286" s="319"/>
      <c r="C286" s="294" t="s">
        <v>8</v>
      </c>
      <c r="D286" s="294" t="s">
        <v>169</v>
      </c>
      <c r="E286" s="294" t="s">
        <v>0</v>
      </c>
      <c r="F286" s="294" t="s">
        <v>400</v>
      </c>
      <c r="G286" s="294" t="s">
        <v>392</v>
      </c>
    </row>
    <row r="287" spans="1:8" ht="15.75" thickBot="1" x14ac:dyDescent="0.3">
      <c r="B287" s="320"/>
      <c r="C287" s="295"/>
      <c r="D287" s="321"/>
      <c r="E287" s="296" t="s">
        <v>401</v>
      </c>
      <c r="F287" s="296" t="s">
        <v>402</v>
      </c>
      <c r="G287" s="296" t="s">
        <v>403</v>
      </c>
    </row>
    <row r="288" spans="1:8" ht="15.75" thickTop="1" x14ac:dyDescent="0.25">
      <c r="B288" s="381" t="s">
        <v>289</v>
      </c>
      <c r="C288" s="382" t="s">
        <v>484</v>
      </c>
      <c r="D288" s="307" t="s">
        <v>345</v>
      </c>
      <c r="E288" s="307">
        <v>1</v>
      </c>
      <c r="F288" s="308">
        <v>50000</v>
      </c>
      <c r="G288" s="308">
        <f>E288*F288</f>
        <v>50000</v>
      </c>
    </row>
    <row r="289" spans="2:7" x14ac:dyDescent="0.25">
      <c r="B289" s="323" t="s">
        <v>291</v>
      </c>
      <c r="C289" s="383" t="s">
        <v>485</v>
      </c>
      <c r="D289" s="325" t="s">
        <v>429</v>
      </c>
      <c r="E289" s="420">
        <v>1</v>
      </c>
      <c r="F289" s="326">
        <v>20000</v>
      </c>
      <c r="G289" s="326">
        <f>E289*F289</f>
        <v>20000</v>
      </c>
    </row>
    <row r="290" spans="2:7" x14ac:dyDescent="0.25">
      <c r="B290" s="323" t="s">
        <v>293</v>
      </c>
      <c r="C290" s="411" t="s">
        <v>486</v>
      </c>
      <c r="D290" s="325" t="s">
        <v>429</v>
      </c>
      <c r="E290" s="421">
        <v>1</v>
      </c>
      <c r="F290" s="330">
        <v>9052</v>
      </c>
      <c r="G290" s="326">
        <f>E290*F290</f>
        <v>9052</v>
      </c>
    </row>
    <row r="291" spans="2:7" ht="15.75" thickBot="1" x14ac:dyDescent="0.3">
      <c r="B291" s="323" t="s">
        <v>471</v>
      </c>
      <c r="C291" s="423"/>
      <c r="D291" s="325"/>
      <c r="E291" s="421"/>
      <c r="F291" s="334"/>
      <c r="G291" s="326"/>
    </row>
    <row r="292" spans="2:7" ht="15.75" thickTop="1" x14ac:dyDescent="0.25">
      <c r="B292" s="323" t="s">
        <v>479</v>
      </c>
      <c r="C292" s="423"/>
      <c r="D292" s="325"/>
      <c r="E292" s="329"/>
      <c r="F292" s="330"/>
      <c r="G292" s="326"/>
    </row>
    <row r="293" spans="2:7" ht="15.75" thickBot="1" x14ac:dyDescent="0.3">
      <c r="B293" s="331" t="s">
        <v>480</v>
      </c>
      <c r="C293" s="332"/>
      <c r="D293" s="299"/>
      <c r="E293" s="333"/>
      <c r="F293" s="334"/>
      <c r="G293" s="292"/>
    </row>
    <row r="294" spans="2:7" ht="15.75" thickTop="1" x14ac:dyDescent="0.25">
      <c r="D294" s="934" t="s">
        <v>404</v>
      </c>
      <c r="E294" s="934"/>
      <c r="F294" s="335"/>
      <c r="G294" s="336"/>
    </row>
    <row r="295" spans="2:7" x14ac:dyDescent="0.25">
      <c r="D295" s="935" t="s">
        <v>405</v>
      </c>
      <c r="E295" s="935"/>
      <c r="F295" s="337"/>
      <c r="G295" s="338"/>
    </row>
    <row r="296" spans="2:7" ht="15.75" thickBot="1" x14ac:dyDescent="0.3">
      <c r="D296" s="936" t="s">
        <v>406</v>
      </c>
      <c r="E296" s="936"/>
      <c r="F296" s="339"/>
      <c r="G296" s="292">
        <f>SUM(G288:G293)</f>
        <v>79052</v>
      </c>
    </row>
    <row r="297" spans="2:7" ht="16.5" thickTop="1" thickBot="1" x14ac:dyDescent="0.3"/>
    <row r="298" spans="2:7" ht="16.5" thickTop="1" thickBot="1" x14ac:dyDescent="0.3">
      <c r="B298" s="290" t="s">
        <v>407</v>
      </c>
      <c r="C298" s="933" t="s">
        <v>408</v>
      </c>
      <c r="D298" s="933"/>
      <c r="E298" s="933"/>
      <c r="F298" s="933"/>
      <c r="G298" s="933"/>
    </row>
    <row r="299" spans="2:7" ht="15.75" thickTop="1" x14ac:dyDescent="0.25">
      <c r="B299" s="291"/>
      <c r="C299" s="290"/>
      <c r="D299" s="290"/>
      <c r="E299" s="290" t="s">
        <v>52</v>
      </c>
      <c r="F299" s="290" t="s">
        <v>388</v>
      </c>
      <c r="G299" s="290" t="s">
        <v>122</v>
      </c>
    </row>
    <row r="300" spans="2:7" x14ac:dyDescent="0.25">
      <c r="B300" s="293"/>
      <c r="C300" s="294" t="s">
        <v>8</v>
      </c>
      <c r="D300" s="294" t="s">
        <v>389</v>
      </c>
      <c r="E300" s="294" t="s">
        <v>409</v>
      </c>
      <c r="F300" s="294" t="s">
        <v>391</v>
      </c>
      <c r="G300" s="294" t="s">
        <v>392</v>
      </c>
    </row>
    <row r="301" spans="2:7" ht="15.75" thickBot="1" x14ac:dyDescent="0.3">
      <c r="B301" s="295"/>
      <c r="C301" s="295"/>
      <c r="D301" s="296" t="s">
        <v>410</v>
      </c>
      <c r="E301" s="296" t="s">
        <v>411</v>
      </c>
      <c r="F301" s="296" t="s">
        <v>412</v>
      </c>
      <c r="G301" s="296" t="s">
        <v>413</v>
      </c>
    </row>
    <row r="302" spans="2:7" ht="15.75" thickTop="1" x14ac:dyDescent="0.25">
      <c r="B302" s="340" t="s">
        <v>296</v>
      </c>
      <c r="C302" s="341" t="s">
        <v>414</v>
      </c>
      <c r="D302" s="342">
        <v>1</v>
      </c>
      <c r="E302" s="326">
        <v>48802</v>
      </c>
      <c r="F302" s="325">
        <v>6</v>
      </c>
      <c r="G302" s="326">
        <f>ROUND(D302*E302/F302,0)</f>
        <v>8134</v>
      </c>
    </row>
    <row r="303" spans="2:7" ht="15.75" thickBot="1" x14ac:dyDescent="0.3">
      <c r="B303" s="343" t="s">
        <v>298</v>
      </c>
      <c r="C303" s="344" t="s">
        <v>415</v>
      </c>
      <c r="D303" s="342">
        <v>1</v>
      </c>
      <c r="E303" s="326">
        <v>96924</v>
      </c>
      <c r="F303" s="325">
        <v>6</v>
      </c>
      <c r="G303" s="326">
        <f>ROUND(D303*E303/F303,0)</f>
        <v>16154</v>
      </c>
    </row>
    <row r="304" spans="2:7" ht="16.5" thickTop="1" thickBot="1" x14ac:dyDescent="0.3">
      <c r="F304" s="314" t="s">
        <v>398</v>
      </c>
      <c r="G304" s="315">
        <f>SUM(G302:G303)</f>
        <v>24288</v>
      </c>
    </row>
    <row r="305" spans="2:9" ht="16.5" thickTop="1" thickBot="1" x14ac:dyDescent="0.3"/>
    <row r="306" spans="2:9" ht="16.5" thickTop="1" thickBot="1" x14ac:dyDescent="0.3">
      <c r="B306" s="290" t="s">
        <v>303</v>
      </c>
      <c r="C306" s="933" t="s">
        <v>416</v>
      </c>
      <c r="D306" s="933"/>
      <c r="E306" s="933"/>
      <c r="F306" s="933"/>
      <c r="G306" s="933"/>
    </row>
    <row r="307" spans="2:9" ht="15.75" thickTop="1" x14ac:dyDescent="0.25">
      <c r="B307" s="291"/>
      <c r="C307" s="290"/>
      <c r="D307" s="290"/>
      <c r="E307" s="290"/>
      <c r="F307" s="290"/>
      <c r="G307" s="290" t="s">
        <v>122</v>
      </c>
    </row>
    <row r="308" spans="2:9" x14ac:dyDescent="0.25">
      <c r="B308" s="293"/>
      <c r="C308" s="294" t="s">
        <v>8</v>
      </c>
      <c r="D308" s="294" t="s">
        <v>389</v>
      </c>
      <c r="E308" s="294" t="s">
        <v>182</v>
      </c>
      <c r="F308" s="294" t="s">
        <v>388</v>
      </c>
      <c r="G308" s="294" t="s">
        <v>392</v>
      </c>
    </row>
    <row r="309" spans="2:9" ht="15.75" thickBot="1" x14ac:dyDescent="0.3">
      <c r="B309" s="295"/>
      <c r="C309" s="295"/>
      <c r="D309" s="296" t="s">
        <v>417</v>
      </c>
      <c r="E309" s="296" t="s">
        <v>418</v>
      </c>
      <c r="F309" s="296" t="s">
        <v>419</v>
      </c>
      <c r="G309" s="296" t="s">
        <v>420</v>
      </c>
    </row>
    <row r="310" spans="2:9" ht="16.5" thickTop="1" thickBot="1" x14ac:dyDescent="0.3">
      <c r="B310" s="424" t="s">
        <v>306</v>
      </c>
      <c r="C310" s="425" t="s">
        <v>487</v>
      </c>
      <c r="D310" s="426">
        <v>1</v>
      </c>
      <c r="E310" s="315">
        <v>60000</v>
      </c>
      <c r="F310" s="349">
        <v>1</v>
      </c>
      <c r="G310" s="326">
        <f>ROUND(D310*E310/F310,0)</f>
        <v>60000</v>
      </c>
    </row>
    <row r="311" spans="2:9" ht="16.5" thickTop="1" thickBot="1" x14ac:dyDescent="0.3">
      <c r="F311" s="314" t="s">
        <v>398</v>
      </c>
      <c r="G311" s="315">
        <f>G310</f>
        <v>60000</v>
      </c>
    </row>
    <row r="312" spans="2:9" ht="16.5" thickTop="1" thickBot="1" x14ac:dyDescent="0.3">
      <c r="G312" s="269" t="s">
        <v>488</v>
      </c>
    </row>
    <row r="313" spans="2:9" ht="16.5" thickTop="1" thickBot="1" x14ac:dyDescent="0.3">
      <c r="B313" s="928" t="s">
        <v>422</v>
      </c>
      <c r="C313" s="929"/>
      <c r="D313" s="929"/>
      <c r="E313" s="929"/>
      <c r="F313" s="352"/>
      <c r="G313" s="353">
        <f>G282+G296+G304+G311</f>
        <v>165330</v>
      </c>
      <c r="I313" s="5">
        <v>223297</v>
      </c>
    </row>
    <row r="314" spans="2:9" ht="16.5" thickTop="1" thickBot="1" x14ac:dyDescent="0.3">
      <c r="B314" s="930" t="s">
        <v>423</v>
      </c>
      <c r="C314" s="931"/>
      <c r="D314" s="931"/>
      <c r="E314" s="931"/>
      <c r="F314" s="354">
        <v>0</v>
      </c>
      <c r="G314" s="355"/>
    </row>
    <row r="315" spans="2:9" ht="16.5" thickTop="1" thickBot="1" x14ac:dyDescent="0.3">
      <c r="B315" s="356" t="s">
        <v>424</v>
      </c>
      <c r="C315" s="357"/>
      <c r="D315" s="357"/>
      <c r="E315" s="357"/>
      <c r="F315" s="358"/>
      <c r="G315" s="359">
        <f>G313</f>
        <v>165330</v>
      </c>
      <c r="I315" s="313">
        <f>I313-G315</f>
        <v>57967</v>
      </c>
    </row>
    <row r="316" spans="2:9" ht="15.75" thickTop="1" x14ac:dyDescent="0.25">
      <c r="G316" s="361"/>
    </row>
    <row r="317" spans="2:9" x14ac:dyDescent="0.25">
      <c r="C317" s="362" t="s">
        <v>425</v>
      </c>
      <c r="G317" s="361"/>
    </row>
    <row r="318" spans="2:9" ht="15" customHeight="1" x14ac:dyDescent="0.25">
      <c r="C318" s="932" t="s">
        <v>621</v>
      </c>
      <c r="D318" s="932"/>
      <c r="E318" s="932"/>
      <c r="F318" s="932"/>
      <c r="G318" s="361"/>
    </row>
    <row r="319" spans="2:9" x14ac:dyDescent="0.25">
      <c r="C319" s="379"/>
      <c r="D319" s="379"/>
      <c r="E319" s="379"/>
      <c r="F319" s="379"/>
      <c r="G319" s="361"/>
    </row>
    <row r="320" spans="2:9" ht="15.75" thickBot="1" x14ac:dyDescent="0.3">
      <c r="C320" s="379"/>
      <c r="D320" s="379"/>
      <c r="E320" s="379"/>
      <c r="F320" s="379"/>
      <c r="G320" s="361"/>
    </row>
    <row r="321" spans="1:8" ht="15.75" thickTop="1" x14ac:dyDescent="0.25">
      <c r="A321" s="940" t="s">
        <v>378</v>
      </c>
      <c r="B321" s="941"/>
      <c r="C321" s="941"/>
      <c r="D321" s="941"/>
      <c r="E321" s="941"/>
      <c r="F321" s="941"/>
      <c r="G321" s="941"/>
      <c r="H321" s="942"/>
    </row>
    <row r="322" spans="1:8" x14ac:dyDescent="0.25">
      <c r="A322" s="943" t="s">
        <v>379</v>
      </c>
      <c r="B322" s="944"/>
      <c r="C322" s="944"/>
      <c r="D322" s="944"/>
      <c r="E322" s="944"/>
      <c r="F322" s="944"/>
      <c r="G322" s="944"/>
      <c r="H322" s="945"/>
    </row>
    <row r="323" spans="1:8" ht="15.75" thickBot="1" x14ac:dyDescent="0.3">
      <c r="A323" s="946" t="s">
        <v>261</v>
      </c>
      <c r="B323" s="947"/>
      <c r="C323" s="947"/>
      <c r="D323" s="947"/>
      <c r="E323" s="947"/>
      <c r="F323" s="947"/>
      <c r="G323" s="947"/>
      <c r="H323" s="948"/>
    </row>
    <row r="324" spans="1:8" ht="16.5" thickTop="1" thickBot="1" x14ac:dyDescent="0.3">
      <c r="A324" s="949" t="s">
        <v>30</v>
      </c>
      <c r="B324" s="950"/>
      <c r="C324" s="950"/>
      <c r="D324" s="950"/>
      <c r="E324" s="950"/>
      <c r="F324" s="950"/>
      <c r="G324" s="950"/>
      <c r="H324" s="951"/>
    </row>
    <row r="325" spans="1:8" ht="15.75" thickTop="1" x14ac:dyDescent="0.25">
      <c r="A325" s="277" t="s">
        <v>380</v>
      </c>
      <c r="B325" s="952" t="s">
        <v>460</v>
      </c>
      <c r="C325" s="952"/>
      <c r="D325" s="952"/>
      <c r="E325" s="952"/>
      <c r="F325" s="952"/>
      <c r="G325" s="278"/>
      <c r="H325" s="279"/>
    </row>
    <row r="326" spans="1:8" x14ac:dyDescent="0.25">
      <c r="A326" s="280" t="s">
        <v>382</v>
      </c>
      <c r="B326" s="281" t="s">
        <v>303</v>
      </c>
      <c r="C326" s="954" t="s">
        <v>304</v>
      </c>
      <c r="D326" s="954"/>
      <c r="E326" s="954"/>
      <c r="F326" s="283" t="s">
        <v>383</v>
      </c>
      <c r="G326" s="284" t="s">
        <v>169</v>
      </c>
      <c r="H326" s="285"/>
    </row>
    <row r="327" spans="1:8" ht="15.75" thickBot="1" x14ac:dyDescent="0.3">
      <c r="A327" s="286" t="s">
        <v>384</v>
      </c>
      <c r="B327" s="287" t="s">
        <v>318</v>
      </c>
      <c r="C327" s="953" t="s">
        <v>319</v>
      </c>
      <c r="D327" s="953"/>
      <c r="E327" s="953"/>
      <c r="F327" s="288" t="s">
        <v>385</v>
      </c>
      <c r="G327" s="287" t="s">
        <v>620</v>
      </c>
      <c r="H327" s="289"/>
    </row>
    <row r="328" spans="1:8" ht="16.5" thickTop="1" thickBot="1" x14ac:dyDescent="0.3"/>
    <row r="329" spans="1:8" ht="16.5" thickTop="1" thickBot="1" x14ac:dyDescent="0.3">
      <c r="B329" s="290" t="s">
        <v>183</v>
      </c>
      <c r="C329" s="937" t="s">
        <v>386</v>
      </c>
      <c r="D329" s="938"/>
      <c r="E329" s="938"/>
      <c r="F329" s="938"/>
      <c r="G329" s="939"/>
    </row>
    <row r="330" spans="1:8" ht="15.75" thickTop="1" x14ac:dyDescent="0.25">
      <c r="B330" s="291"/>
      <c r="C330" s="290"/>
      <c r="D330" s="290"/>
      <c r="E330" s="290" t="s">
        <v>387</v>
      </c>
      <c r="F330" s="290" t="s">
        <v>388</v>
      </c>
      <c r="G330" s="290" t="s">
        <v>122</v>
      </c>
    </row>
    <row r="331" spans="1:8" x14ac:dyDescent="0.25">
      <c r="B331" s="293"/>
      <c r="C331" s="294" t="s">
        <v>8</v>
      </c>
      <c r="D331" s="294" t="s">
        <v>389</v>
      </c>
      <c r="E331" s="294" t="s">
        <v>390</v>
      </c>
      <c r="F331" s="294" t="s">
        <v>391</v>
      </c>
      <c r="G331" s="294" t="s">
        <v>392</v>
      </c>
    </row>
    <row r="332" spans="1:8" ht="15.75" thickBot="1" x14ac:dyDescent="0.3">
      <c r="B332" s="295"/>
      <c r="C332" s="295"/>
      <c r="D332" s="296" t="s">
        <v>393</v>
      </c>
      <c r="E332" s="296" t="s">
        <v>394</v>
      </c>
      <c r="F332" s="296" t="s">
        <v>395</v>
      </c>
      <c r="G332" s="296" t="s">
        <v>396</v>
      </c>
    </row>
    <row r="333" spans="1:8" ht="16.5" thickTop="1" thickBot="1" x14ac:dyDescent="0.3">
      <c r="B333" s="297" t="s">
        <v>185</v>
      </c>
      <c r="C333" s="298" t="s">
        <v>262</v>
      </c>
      <c r="D333" s="299">
        <v>1</v>
      </c>
      <c r="E333" s="292">
        <v>17768.88</v>
      </c>
      <c r="F333" s="300">
        <v>1</v>
      </c>
      <c r="G333" s="301">
        <f>D333*E333/F333</f>
        <v>17768.88</v>
      </c>
    </row>
    <row r="334" spans="1:8" ht="16.5" thickTop="1" thickBot="1" x14ac:dyDescent="0.3">
      <c r="B334" s="305" t="s">
        <v>280</v>
      </c>
      <c r="C334" s="310"/>
      <c r="D334" s="300"/>
      <c r="E334" s="363"/>
      <c r="F334" s="300"/>
      <c r="G334" s="301"/>
    </row>
    <row r="335" spans="1:8" ht="16.5" thickTop="1" thickBot="1" x14ac:dyDescent="0.3">
      <c r="B335" s="297" t="s">
        <v>282</v>
      </c>
      <c r="C335" s="298"/>
      <c r="D335" s="299"/>
      <c r="E335" s="391"/>
      <c r="F335" s="300"/>
      <c r="G335" s="301"/>
    </row>
    <row r="336" spans="1:8" ht="16.5" thickTop="1" thickBot="1" x14ac:dyDescent="0.3">
      <c r="B336" s="302" t="s">
        <v>284</v>
      </c>
      <c r="C336" s="310"/>
      <c r="D336" s="300"/>
      <c r="E336" s="304"/>
      <c r="F336" s="300"/>
      <c r="G336" s="350"/>
    </row>
    <row r="337" spans="2:7" ht="16.5" thickTop="1" thickBot="1" x14ac:dyDescent="0.3">
      <c r="F337" s="314" t="s">
        <v>398</v>
      </c>
      <c r="G337" s="315">
        <f>SUM(G333:G336)</f>
        <v>17768.88</v>
      </c>
    </row>
    <row r="338" spans="2:7" ht="16.5" thickTop="1" thickBot="1" x14ac:dyDescent="0.3"/>
    <row r="339" spans="2:7" ht="16.5" thickTop="1" thickBot="1" x14ac:dyDescent="0.3">
      <c r="B339" s="317" t="s">
        <v>192</v>
      </c>
      <c r="C339" s="933" t="s">
        <v>399</v>
      </c>
      <c r="D339" s="933"/>
      <c r="E339" s="933"/>
      <c r="F339" s="933"/>
      <c r="G339" s="933"/>
    </row>
    <row r="340" spans="2:7" ht="15.75" thickTop="1" x14ac:dyDescent="0.25">
      <c r="B340" s="318"/>
      <c r="C340" s="290"/>
      <c r="D340" s="290"/>
      <c r="E340" s="290"/>
      <c r="F340" s="290" t="s">
        <v>122</v>
      </c>
      <c r="G340" s="290" t="s">
        <v>122</v>
      </c>
    </row>
    <row r="341" spans="2:7" x14ac:dyDescent="0.25">
      <c r="B341" s="319"/>
      <c r="C341" s="294" t="s">
        <v>8</v>
      </c>
      <c r="D341" s="294" t="s">
        <v>169</v>
      </c>
      <c r="E341" s="294" t="s">
        <v>0</v>
      </c>
      <c r="F341" s="294" t="s">
        <v>400</v>
      </c>
      <c r="G341" s="294" t="s">
        <v>392</v>
      </c>
    </row>
    <row r="342" spans="2:7" ht="15.75" thickBot="1" x14ac:dyDescent="0.3">
      <c r="B342" s="320"/>
      <c r="C342" s="295"/>
      <c r="D342" s="321"/>
      <c r="E342" s="296" t="s">
        <v>401</v>
      </c>
      <c r="F342" s="296" t="s">
        <v>402</v>
      </c>
      <c r="G342" s="296" t="s">
        <v>403</v>
      </c>
    </row>
    <row r="343" spans="2:7" ht="15.75" thickTop="1" x14ac:dyDescent="0.25">
      <c r="B343" s="381" t="s">
        <v>289</v>
      </c>
      <c r="C343" s="306" t="s">
        <v>489</v>
      </c>
      <c r="D343" s="307" t="s">
        <v>345</v>
      </c>
      <c r="E343" s="307">
        <v>1</v>
      </c>
      <c r="F343" s="308">
        <v>100000</v>
      </c>
      <c r="G343" s="308">
        <f>E343*F343</f>
        <v>100000</v>
      </c>
    </row>
    <row r="344" spans="2:7" x14ac:dyDescent="0.25">
      <c r="B344" s="323" t="s">
        <v>291</v>
      </c>
      <c r="C344" s="324" t="s">
        <v>490</v>
      </c>
      <c r="D344" s="325" t="s">
        <v>345</v>
      </c>
      <c r="E344" s="325">
        <v>1</v>
      </c>
      <c r="F344" s="326">
        <v>10000</v>
      </c>
      <c r="G344" s="326">
        <f>E344*F344</f>
        <v>10000</v>
      </c>
    </row>
    <row r="345" spans="2:7" ht="15.75" thickBot="1" x14ac:dyDescent="0.3">
      <c r="B345" s="331"/>
      <c r="C345" s="428"/>
      <c r="D345" s="299"/>
      <c r="E345" s="333"/>
      <c r="F345" s="334"/>
      <c r="G345" s="292"/>
    </row>
    <row r="346" spans="2:7" ht="15.75" thickTop="1" x14ac:dyDescent="0.25">
      <c r="D346" s="934" t="s">
        <v>404</v>
      </c>
      <c r="E346" s="934"/>
      <c r="F346" s="335"/>
      <c r="G346" s="336"/>
    </row>
    <row r="347" spans="2:7" x14ac:dyDescent="0.25">
      <c r="D347" s="935" t="s">
        <v>405</v>
      </c>
      <c r="E347" s="935"/>
      <c r="F347" s="337"/>
      <c r="G347" s="338"/>
    </row>
    <row r="348" spans="2:7" ht="15.75" thickBot="1" x14ac:dyDescent="0.3">
      <c r="D348" s="936" t="s">
        <v>406</v>
      </c>
      <c r="E348" s="936"/>
      <c r="F348" s="339"/>
      <c r="G348" s="292">
        <f>SUM(G343:G345)</f>
        <v>110000</v>
      </c>
    </row>
    <row r="349" spans="2:7" ht="16.5" thickTop="1" thickBot="1" x14ac:dyDescent="0.3"/>
    <row r="350" spans="2:7" ht="16.5" thickTop="1" thickBot="1" x14ac:dyDescent="0.3">
      <c r="B350" s="290" t="s">
        <v>407</v>
      </c>
      <c r="C350" s="933" t="s">
        <v>408</v>
      </c>
      <c r="D350" s="933"/>
      <c r="E350" s="933"/>
      <c r="F350" s="933"/>
      <c r="G350" s="933"/>
    </row>
    <row r="351" spans="2:7" ht="15.75" thickTop="1" x14ac:dyDescent="0.25">
      <c r="B351" s="291"/>
      <c r="C351" s="290"/>
      <c r="D351" s="290"/>
      <c r="E351" s="290" t="s">
        <v>52</v>
      </c>
      <c r="F351" s="290" t="s">
        <v>388</v>
      </c>
      <c r="G351" s="290" t="s">
        <v>122</v>
      </c>
    </row>
    <row r="352" spans="2:7" x14ac:dyDescent="0.25">
      <c r="B352" s="293"/>
      <c r="C352" s="294" t="s">
        <v>8</v>
      </c>
      <c r="D352" s="294" t="s">
        <v>389</v>
      </c>
      <c r="E352" s="294" t="s">
        <v>409</v>
      </c>
      <c r="F352" s="294" t="s">
        <v>391</v>
      </c>
      <c r="G352" s="294" t="s">
        <v>392</v>
      </c>
    </row>
    <row r="353" spans="2:10" ht="15.75" thickBot="1" x14ac:dyDescent="0.3">
      <c r="B353" s="295"/>
      <c r="C353" s="295"/>
      <c r="D353" s="296" t="s">
        <v>410</v>
      </c>
      <c r="E353" s="296" t="s">
        <v>411</v>
      </c>
      <c r="F353" s="296" t="s">
        <v>412</v>
      </c>
      <c r="G353" s="296" t="s">
        <v>413</v>
      </c>
    </row>
    <row r="354" spans="2:10" ht="15.75" thickTop="1" x14ac:dyDescent="0.25">
      <c r="B354" s="340" t="s">
        <v>296</v>
      </c>
      <c r="C354" s="341" t="s">
        <v>414</v>
      </c>
      <c r="D354" s="342">
        <v>2</v>
      </c>
      <c r="E354" s="326">
        <v>48802</v>
      </c>
      <c r="F354" s="325">
        <v>1</v>
      </c>
      <c r="G354" s="326">
        <f>D354*E354/F354</f>
        <v>97604</v>
      </c>
    </row>
    <row r="355" spans="2:10" ht="15.75" thickBot="1" x14ac:dyDescent="0.3">
      <c r="B355" s="343" t="s">
        <v>298</v>
      </c>
      <c r="C355" s="344" t="s">
        <v>415</v>
      </c>
      <c r="D355" s="342">
        <v>1</v>
      </c>
      <c r="E355" s="326">
        <v>96924</v>
      </c>
      <c r="F355" s="325">
        <v>1</v>
      </c>
      <c r="G355" s="326">
        <f>D355*E355/F355</f>
        <v>96924</v>
      </c>
    </row>
    <row r="356" spans="2:10" ht="16.5" thickTop="1" thickBot="1" x14ac:dyDescent="0.3">
      <c r="F356" s="314" t="s">
        <v>398</v>
      </c>
      <c r="G356" s="315">
        <f>SUM(G354:G355)</f>
        <v>194528</v>
      </c>
    </row>
    <row r="357" spans="2:10" ht="16.5" thickTop="1" thickBot="1" x14ac:dyDescent="0.3"/>
    <row r="358" spans="2:10" ht="16.5" thickTop="1" thickBot="1" x14ac:dyDescent="0.3">
      <c r="B358" s="290" t="s">
        <v>303</v>
      </c>
      <c r="C358" s="933" t="s">
        <v>416</v>
      </c>
      <c r="D358" s="933"/>
      <c r="E358" s="933"/>
      <c r="F358" s="933"/>
      <c r="G358" s="933"/>
    </row>
    <row r="359" spans="2:10" ht="15.75" thickTop="1" x14ac:dyDescent="0.25">
      <c r="B359" s="291"/>
      <c r="C359" s="290"/>
      <c r="D359" s="290"/>
      <c r="E359" s="290"/>
      <c r="F359" s="290"/>
      <c r="G359" s="290" t="s">
        <v>122</v>
      </c>
    </row>
    <row r="360" spans="2:10" x14ac:dyDescent="0.25">
      <c r="B360" s="293"/>
      <c r="C360" s="294" t="s">
        <v>8</v>
      </c>
      <c r="D360" s="294" t="s">
        <v>389</v>
      </c>
      <c r="E360" s="294" t="s">
        <v>182</v>
      </c>
      <c r="F360" s="294" t="s">
        <v>388</v>
      </c>
      <c r="G360" s="294" t="s">
        <v>392</v>
      </c>
    </row>
    <row r="361" spans="2:10" ht="15.75" thickBot="1" x14ac:dyDescent="0.3">
      <c r="B361" s="295"/>
      <c r="C361" s="295"/>
      <c r="D361" s="296" t="s">
        <v>417</v>
      </c>
      <c r="E361" s="296" t="s">
        <v>418</v>
      </c>
      <c r="F361" s="296" t="s">
        <v>419</v>
      </c>
      <c r="G361" s="296" t="s">
        <v>420</v>
      </c>
    </row>
    <row r="362" spans="2:10" ht="16.5" thickTop="1" thickBot="1" x14ac:dyDescent="0.3">
      <c r="B362" s="347" t="s">
        <v>306</v>
      </c>
      <c r="C362" s="348" t="s">
        <v>451</v>
      </c>
      <c r="D362" s="349">
        <v>1</v>
      </c>
      <c r="E362" s="350">
        <f>ROUND(58313.31*0.2165+(58313),0)</f>
        <v>70938</v>
      </c>
      <c r="F362" s="349">
        <v>1</v>
      </c>
      <c r="G362" s="350">
        <f>D362*E362*F362</f>
        <v>70938</v>
      </c>
    </row>
    <row r="363" spans="2:10" ht="16.5" thickTop="1" thickBot="1" x14ac:dyDescent="0.3">
      <c r="B363" s="331"/>
      <c r="C363" s="351" t="s">
        <v>491</v>
      </c>
      <c r="D363" s="299">
        <v>1</v>
      </c>
      <c r="E363" s="350">
        <v>60000</v>
      </c>
      <c r="F363" s="349">
        <v>1</v>
      </c>
      <c r="G363" s="350">
        <f>D363*E363*F363</f>
        <v>60000</v>
      </c>
    </row>
    <row r="364" spans="2:10" ht="16.5" thickTop="1" thickBot="1" x14ac:dyDescent="0.3">
      <c r="F364" s="314" t="s">
        <v>398</v>
      </c>
      <c r="G364" s="315">
        <f>SUM(G362:G363)</f>
        <v>130938</v>
      </c>
    </row>
    <row r="365" spans="2:10" ht="16.5" thickTop="1" thickBot="1" x14ac:dyDescent="0.3">
      <c r="G365" s="269"/>
    </row>
    <row r="366" spans="2:10" ht="16.5" thickTop="1" thickBot="1" x14ac:dyDescent="0.3">
      <c r="B366" s="928" t="s">
        <v>422</v>
      </c>
      <c r="C366" s="929"/>
      <c r="D366" s="929"/>
      <c r="E366" s="929"/>
      <c r="F366" s="352"/>
      <c r="G366" s="353">
        <f>G337+G348+G356+G364</f>
        <v>453234.88</v>
      </c>
    </row>
    <row r="367" spans="2:10" ht="16.5" thickTop="1" thickBot="1" x14ac:dyDescent="0.3">
      <c r="B367" s="930" t="s">
        <v>423</v>
      </c>
      <c r="C367" s="931"/>
      <c r="D367" s="931"/>
      <c r="E367" s="931"/>
      <c r="F367" s="354">
        <v>0</v>
      </c>
      <c r="G367" s="355"/>
      <c r="I367" s="5">
        <v>710918</v>
      </c>
    </row>
    <row r="368" spans="2:10" ht="16.5" thickTop="1" thickBot="1" x14ac:dyDescent="0.3">
      <c r="B368" s="356" t="s">
        <v>424</v>
      </c>
      <c r="C368" s="357"/>
      <c r="D368" s="357"/>
      <c r="E368" s="357"/>
      <c r="F368" s="358"/>
      <c r="G368" s="359">
        <f>ROUND(G366,0)</f>
        <v>453235</v>
      </c>
      <c r="I368" s="313">
        <f>I367-G368</f>
        <v>257683</v>
      </c>
      <c r="J368" s="407"/>
    </row>
    <row r="369" spans="3:7" ht="15.75" thickTop="1" x14ac:dyDescent="0.25">
      <c r="G369" s="361"/>
    </row>
    <row r="370" spans="3:7" x14ac:dyDescent="0.25">
      <c r="C370" s="362" t="s">
        <v>425</v>
      </c>
      <c r="G370" s="361"/>
    </row>
    <row r="371" spans="3:7" ht="15" customHeight="1" x14ac:dyDescent="0.25">
      <c r="C371" s="932" t="s">
        <v>621</v>
      </c>
      <c r="D371" s="932"/>
      <c r="E371" s="932"/>
      <c r="F371" s="932"/>
      <c r="G371" s="361"/>
    </row>
  </sheetData>
  <mergeCells count="115">
    <mergeCell ref="A1:H1"/>
    <mergeCell ref="A2:H2"/>
    <mergeCell ref="A3:H3"/>
    <mergeCell ref="A4:H4"/>
    <mergeCell ref="B5:F5"/>
    <mergeCell ref="C7:E7"/>
    <mergeCell ref="C38:G38"/>
    <mergeCell ref="B46:E46"/>
    <mergeCell ref="B47:E47"/>
    <mergeCell ref="C51:F51"/>
    <mergeCell ref="A53:H53"/>
    <mergeCell ref="A54:H54"/>
    <mergeCell ref="C9:G9"/>
    <mergeCell ref="C18:G18"/>
    <mergeCell ref="D26:E26"/>
    <mergeCell ref="D27:E27"/>
    <mergeCell ref="D28:E28"/>
    <mergeCell ref="C30:G30"/>
    <mergeCell ref="C69:G69"/>
    <mergeCell ref="D77:E77"/>
    <mergeCell ref="D78:E78"/>
    <mergeCell ref="D79:E79"/>
    <mergeCell ref="C81:G81"/>
    <mergeCell ref="C89:G89"/>
    <mergeCell ref="A55:H55"/>
    <mergeCell ref="A56:H56"/>
    <mergeCell ref="B57:F57"/>
    <mergeCell ref="C58:E58"/>
    <mergeCell ref="C59:E59"/>
    <mergeCell ref="C61:G61"/>
    <mergeCell ref="A109:H109"/>
    <mergeCell ref="B110:F110"/>
    <mergeCell ref="C112:E112"/>
    <mergeCell ref="C114:G114"/>
    <mergeCell ref="C122:G122"/>
    <mergeCell ref="D133:E133"/>
    <mergeCell ref="B97:E97"/>
    <mergeCell ref="B98:E98"/>
    <mergeCell ref="C102:F102"/>
    <mergeCell ref="A106:H106"/>
    <mergeCell ref="A107:H107"/>
    <mergeCell ref="A108:H108"/>
    <mergeCell ref="C158:F158"/>
    <mergeCell ref="A160:H160"/>
    <mergeCell ref="A161:H161"/>
    <mergeCell ref="A162:H162"/>
    <mergeCell ref="A163:H163"/>
    <mergeCell ref="B164:F164"/>
    <mergeCell ref="D134:E134"/>
    <mergeCell ref="D135:E135"/>
    <mergeCell ref="C137:G137"/>
    <mergeCell ref="C145:G145"/>
    <mergeCell ref="B153:E153"/>
    <mergeCell ref="B154:E154"/>
    <mergeCell ref="D185:E185"/>
    <mergeCell ref="C187:G187"/>
    <mergeCell ref="C195:G195"/>
    <mergeCell ref="B203:E203"/>
    <mergeCell ref="B204:E204"/>
    <mergeCell ref="C209:F209"/>
    <mergeCell ref="C165:E165"/>
    <mergeCell ref="C166:E166"/>
    <mergeCell ref="C168:G168"/>
    <mergeCell ref="C176:G176"/>
    <mergeCell ref="D183:E183"/>
    <mergeCell ref="D184:E184"/>
    <mergeCell ref="C219:G219"/>
    <mergeCell ref="C228:G228"/>
    <mergeCell ref="D235:E235"/>
    <mergeCell ref="D236:E236"/>
    <mergeCell ref="D237:E237"/>
    <mergeCell ref="C239:G239"/>
    <mergeCell ref="A211:H211"/>
    <mergeCell ref="A212:H212"/>
    <mergeCell ref="A213:H213"/>
    <mergeCell ref="A214:H214"/>
    <mergeCell ref="B215:F215"/>
    <mergeCell ref="C217:E217"/>
    <mergeCell ref="A269:H269"/>
    <mergeCell ref="A270:H270"/>
    <mergeCell ref="B271:F271"/>
    <mergeCell ref="C273:E273"/>
    <mergeCell ref="C275:G275"/>
    <mergeCell ref="C284:G284"/>
    <mergeCell ref="C247:G247"/>
    <mergeCell ref="B255:E255"/>
    <mergeCell ref="B256:E256"/>
    <mergeCell ref="C261:F261"/>
    <mergeCell ref="A267:H267"/>
    <mergeCell ref="A268:H268"/>
    <mergeCell ref="B314:E314"/>
    <mergeCell ref="C318:F318"/>
    <mergeCell ref="A321:H321"/>
    <mergeCell ref="A322:H322"/>
    <mergeCell ref="A323:H323"/>
    <mergeCell ref="A324:H324"/>
    <mergeCell ref="D294:E294"/>
    <mergeCell ref="D295:E295"/>
    <mergeCell ref="D296:E296"/>
    <mergeCell ref="C298:G298"/>
    <mergeCell ref="C306:G306"/>
    <mergeCell ref="B313:E313"/>
    <mergeCell ref="C371:F371"/>
    <mergeCell ref="D347:E347"/>
    <mergeCell ref="D348:E348"/>
    <mergeCell ref="C350:G350"/>
    <mergeCell ref="C358:G358"/>
    <mergeCell ref="B366:E366"/>
    <mergeCell ref="B367:E367"/>
    <mergeCell ref="B325:F325"/>
    <mergeCell ref="C326:E326"/>
    <mergeCell ref="C327:E327"/>
    <mergeCell ref="C329:G329"/>
    <mergeCell ref="C339:G339"/>
    <mergeCell ref="D346:E346"/>
  </mergeCells>
  <pageMargins left="0.7" right="0.7" top="0.75" bottom="0.75" header="0.3" footer="0.3"/>
  <pageSetup scale="8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I439"/>
  <sheetViews>
    <sheetView topLeftCell="A430" workbookViewId="0">
      <selection activeCell="C439" sqref="C439:F439"/>
    </sheetView>
  </sheetViews>
  <sheetFormatPr baseColWidth="10" defaultRowHeight="15" x14ac:dyDescent="0.25"/>
  <cols>
    <col min="1" max="2" width="11.42578125" style="5"/>
    <col min="3" max="3" width="26.42578125" style="5" customWidth="1"/>
    <col min="4" max="6" width="11.42578125" style="5"/>
    <col min="7" max="7" width="12" style="5" customWidth="1"/>
    <col min="8" max="8" width="11.140625" style="5" customWidth="1"/>
    <col min="9" max="16384" width="11.42578125" style="5"/>
  </cols>
  <sheetData>
    <row r="2" spans="1:8" ht="15.75" thickBot="1" x14ac:dyDescent="0.3"/>
    <row r="3" spans="1:8" ht="15.75" thickTop="1" x14ac:dyDescent="0.25">
      <c r="A3" s="940" t="s">
        <v>378</v>
      </c>
      <c r="B3" s="941"/>
      <c r="C3" s="941"/>
      <c r="D3" s="941"/>
      <c r="E3" s="941"/>
      <c r="F3" s="941"/>
      <c r="G3" s="941"/>
      <c r="H3" s="942"/>
    </row>
    <row r="4" spans="1:8" x14ac:dyDescent="0.25">
      <c r="A4" s="943" t="s">
        <v>379</v>
      </c>
      <c r="B4" s="944"/>
      <c r="C4" s="944"/>
      <c r="D4" s="944"/>
      <c r="E4" s="944"/>
      <c r="F4" s="944"/>
      <c r="G4" s="944"/>
      <c r="H4" s="945"/>
    </row>
    <row r="5" spans="1:8" ht="15.75" thickBot="1" x14ac:dyDescent="0.3">
      <c r="A5" s="946" t="s">
        <v>261</v>
      </c>
      <c r="B5" s="947"/>
      <c r="C5" s="947"/>
      <c r="D5" s="947"/>
      <c r="E5" s="947"/>
      <c r="F5" s="947"/>
      <c r="G5" s="947"/>
      <c r="H5" s="948"/>
    </row>
    <row r="6" spans="1:8" ht="16.5" thickTop="1" thickBot="1" x14ac:dyDescent="0.3">
      <c r="A6" s="949" t="s">
        <v>30</v>
      </c>
      <c r="B6" s="950"/>
      <c r="C6" s="950"/>
      <c r="D6" s="950"/>
      <c r="E6" s="950"/>
      <c r="F6" s="950"/>
      <c r="G6" s="950"/>
      <c r="H6" s="951"/>
    </row>
    <row r="7" spans="1:8" ht="15.75" thickTop="1" x14ac:dyDescent="0.25">
      <c r="A7" s="277" t="s">
        <v>380</v>
      </c>
      <c r="B7" s="952" t="s">
        <v>460</v>
      </c>
      <c r="C7" s="952"/>
      <c r="D7" s="952"/>
      <c r="E7" s="952"/>
      <c r="F7" s="952"/>
      <c r="G7" s="278"/>
      <c r="H7" s="279"/>
    </row>
    <row r="8" spans="1:8" x14ac:dyDescent="0.25">
      <c r="A8" s="280" t="s">
        <v>382</v>
      </c>
      <c r="B8" s="281" t="s">
        <v>492</v>
      </c>
      <c r="C8" s="281" t="s">
        <v>320</v>
      </c>
      <c r="D8" s="281">
        <v>1</v>
      </c>
      <c r="E8" s="282"/>
      <c r="F8" s="283" t="s">
        <v>383</v>
      </c>
      <c r="G8" s="284" t="s">
        <v>302</v>
      </c>
      <c r="H8" s="285"/>
    </row>
    <row r="9" spans="1:8" ht="15.75" thickBot="1" x14ac:dyDescent="0.3">
      <c r="A9" s="286" t="s">
        <v>384</v>
      </c>
      <c r="B9" s="287" t="s">
        <v>321</v>
      </c>
      <c r="C9" s="965" t="s">
        <v>322</v>
      </c>
      <c r="D9" s="965"/>
      <c r="E9" s="965"/>
      <c r="F9" s="288" t="s">
        <v>385</v>
      </c>
      <c r="G9" s="287" t="s">
        <v>620</v>
      </c>
      <c r="H9" s="289"/>
    </row>
    <row r="10" spans="1:8" ht="16.5" thickTop="1" thickBot="1" x14ac:dyDescent="0.3">
      <c r="D10" s="5">
        <v>1</v>
      </c>
    </row>
    <row r="11" spans="1:8" ht="16.5" thickTop="1" thickBot="1" x14ac:dyDescent="0.3">
      <c r="B11" s="290" t="s">
        <v>183</v>
      </c>
      <c r="C11" s="937" t="s">
        <v>386</v>
      </c>
      <c r="D11" s="938"/>
      <c r="E11" s="938"/>
      <c r="F11" s="938"/>
      <c r="G11" s="939"/>
    </row>
    <row r="12" spans="1:8" ht="15.75" thickTop="1" x14ac:dyDescent="0.25">
      <c r="B12" s="291"/>
      <c r="C12" s="290"/>
      <c r="D12" s="290">
        <v>1</v>
      </c>
      <c r="E12" s="290" t="s">
        <v>387</v>
      </c>
      <c r="F12" s="290" t="s">
        <v>388</v>
      </c>
      <c r="G12" s="290" t="s">
        <v>122</v>
      </c>
    </row>
    <row r="13" spans="1:8" x14ac:dyDescent="0.25">
      <c r="B13" s="293"/>
      <c r="C13" s="294" t="s">
        <v>8</v>
      </c>
      <c r="D13" s="294" t="s">
        <v>389</v>
      </c>
      <c r="E13" s="294" t="s">
        <v>390</v>
      </c>
      <c r="F13" s="294" t="s">
        <v>391</v>
      </c>
      <c r="G13" s="294" t="s">
        <v>392</v>
      </c>
    </row>
    <row r="14" spans="1:8" ht="15.75" thickBot="1" x14ac:dyDescent="0.3">
      <c r="B14" s="295"/>
      <c r="C14" s="295"/>
      <c r="D14" s="296">
        <v>2</v>
      </c>
      <c r="E14" s="296" t="s">
        <v>394</v>
      </c>
      <c r="F14" s="296" t="s">
        <v>395</v>
      </c>
      <c r="G14" s="296" t="s">
        <v>396</v>
      </c>
    </row>
    <row r="15" spans="1:8" ht="15.75" thickTop="1" x14ac:dyDescent="0.25">
      <c r="B15" s="302" t="s">
        <v>185</v>
      </c>
      <c r="C15" s="387" t="s">
        <v>493</v>
      </c>
      <c r="D15" s="349">
        <v>3</v>
      </c>
      <c r="E15" s="391">
        <v>1028429</v>
      </c>
      <c r="F15" s="349">
        <v>4</v>
      </c>
      <c r="G15" s="350">
        <f>D15*E15/F15</f>
        <v>771321.75</v>
      </c>
    </row>
    <row r="16" spans="1:8" x14ac:dyDescent="0.25">
      <c r="B16" s="305"/>
      <c r="C16" s="310"/>
      <c r="D16" s="300">
        <v>4</v>
      </c>
      <c r="E16" s="301"/>
      <c r="F16" s="300"/>
      <c r="G16" s="301"/>
    </row>
    <row r="17" spans="2:7" ht="15.75" thickBot="1" x14ac:dyDescent="0.3">
      <c r="B17" s="305"/>
      <c r="C17" s="310"/>
      <c r="D17" s="300"/>
      <c r="E17" s="301"/>
      <c r="F17" s="300"/>
      <c r="G17" s="301"/>
    </row>
    <row r="18" spans="2:7" ht="16.5" thickTop="1" thickBot="1" x14ac:dyDescent="0.3">
      <c r="D18" s="5">
        <v>2</v>
      </c>
      <c r="F18" s="314" t="s">
        <v>398</v>
      </c>
      <c r="G18" s="315">
        <f>SUM(G15:G17)</f>
        <v>771321.75</v>
      </c>
    </row>
    <row r="19" spans="2:7" ht="16.5" thickTop="1" thickBot="1" x14ac:dyDescent="0.3">
      <c r="D19" s="5">
        <v>2</v>
      </c>
    </row>
    <row r="20" spans="2:7" ht="16.5" thickTop="1" thickBot="1" x14ac:dyDescent="0.3">
      <c r="B20" s="317" t="s">
        <v>192</v>
      </c>
      <c r="C20" s="933" t="s">
        <v>399</v>
      </c>
      <c r="D20" s="933"/>
      <c r="E20" s="933"/>
      <c r="F20" s="933"/>
      <c r="G20" s="933"/>
    </row>
    <row r="21" spans="2:7" ht="15.75" thickTop="1" x14ac:dyDescent="0.25">
      <c r="B21" s="318"/>
      <c r="C21" s="290"/>
      <c r="D21" s="290">
        <v>125</v>
      </c>
      <c r="E21" s="290"/>
      <c r="F21" s="290" t="s">
        <v>122</v>
      </c>
      <c r="G21" s="290" t="s">
        <v>122</v>
      </c>
    </row>
    <row r="22" spans="2:7" x14ac:dyDescent="0.25">
      <c r="B22" s="319"/>
      <c r="C22" s="294" t="s">
        <v>8</v>
      </c>
      <c r="D22" s="294">
        <v>65</v>
      </c>
      <c r="E22" s="294" t="s">
        <v>0</v>
      </c>
      <c r="F22" s="294" t="s">
        <v>400</v>
      </c>
      <c r="G22" s="294" t="s">
        <v>392</v>
      </c>
    </row>
    <row r="23" spans="2:7" ht="15.75" thickBot="1" x14ac:dyDescent="0.3">
      <c r="B23" s="320"/>
      <c r="C23" s="295"/>
      <c r="D23" s="321">
        <v>1</v>
      </c>
      <c r="E23" s="296" t="s">
        <v>401</v>
      </c>
      <c r="F23" s="296" t="s">
        <v>402</v>
      </c>
      <c r="G23" s="296" t="s">
        <v>403</v>
      </c>
    </row>
    <row r="24" spans="2:7" ht="15.75" thickTop="1" x14ac:dyDescent="0.25">
      <c r="B24" s="322" t="s">
        <v>289</v>
      </c>
      <c r="C24" s="306" t="s">
        <v>494</v>
      </c>
      <c r="D24" s="307">
        <v>1</v>
      </c>
      <c r="E24" s="307">
        <v>1</v>
      </c>
      <c r="F24" s="308">
        <f>6583*1.16</f>
        <v>7636.28</v>
      </c>
      <c r="G24" s="308">
        <f>E24*F24</f>
        <v>7636.28</v>
      </c>
    </row>
    <row r="25" spans="2:7" x14ac:dyDescent="0.25">
      <c r="B25" s="323"/>
      <c r="C25" s="324"/>
      <c r="D25" s="325"/>
      <c r="E25" s="325"/>
      <c r="F25" s="326"/>
      <c r="G25" s="326"/>
    </row>
    <row r="26" spans="2:7" x14ac:dyDescent="0.25">
      <c r="D26" s="934">
        <v>30</v>
      </c>
      <c r="E26" s="934"/>
      <c r="F26" s="335"/>
      <c r="G26" s="336"/>
    </row>
    <row r="27" spans="2:7" x14ac:dyDescent="0.25">
      <c r="D27" s="935">
        <v>20</v>
      </c>
      <c r="E27" s="935"/>
      <c r="F27" s="337"/>
      <c r="G27" s="338"/>
    </row>
    <row r="28" spans="2:7" ht="15.75" thickBot="1" x14ac:dyDescent="0.3">
      <c r="D28" s="936">
        <v>10</v>
      </c>
      <c r="E28" s="936"/>
      <c r="F28" s="339"/>
      <c r="G28" s="292">
        <f>SUM(G24:G25)</f>
        <v>7636.28</v>
      </c>
    </row>
    <row r="29" spans="2:7" ht="16.5" thickTop="1" thickBot="1" x14ac:dyDescent="0.3">
      <c r="D29" s="5">
        <v>5</v>
      </c>
    </row>
    <row r="30" spans="2:7" ht="16.5" thickTop="1" thickBot="1" x14ac:dyDescent="0.3">
      <c r="B30" s="290" t="s">
        <v>407</v>
      </c>
      <c r="C30" s="933" t="s">
        <v>408</v>
      </c>
      <c r="D30" s="933"/>
      <c r="E30" s="933"/>
      <c r="F30" s="933"/>
      <c r="G30" s="933"/>
    </row>
    <row r="31" spans="2:7" ht="15.75" thickTop="1" x14ac:dyDescent="0.25">
      <c r="B31" s="291"/>
      <c r="C31" s="290"/>
      <c r="D31" s="290">
        <v>1</v>
      </c>
      <c r="E31" s="290" t="s">
        <v>52</v>
      </c>
      <c r="F31" s="290" t="s">
        <v>388</v>
      </c>
      <c r="G31" s="290" t="s">
        <v>122</v>
      </c>
    </row>
    <row r="32" spans="2:7" x14ac:dyDescent="0.25">
      <c r="B32" s="293"/>
      <c r="C32" s="294" t="s">
        <v>8</v>
      </c>
      <c r="D32" s="294">
        <v>2</v>
      </c>
      <c r="E32" s="294" t="s">
        <v>409</v>
      </c>
      <c r="F32" s="294" t="s">
        <v>391</v>
      </c>
      <c r="G32" s="294" t="s">
        <v>392</v>
      </c>
    </row>
    <row r="33" spans="2:7" ht="15.75" thickBot="1" x14ac:dyDescent="0.3">
      <c r="B33" s="295"/>
      <c r="C33" s="295"/>
      <c r="D33" s="296">
        <v>1</v>
      </c>
      <c r="E33" s="296" t="s">
        <v>411</v>
      </c>
      <c r="F33" s="296" t="s">
        <v>412</v>
      </c>
      <c r="G33" s="296" t="s">
        <v>413</v>
      </c>
    </row>
    <row r="34" spans="2:7" ht="15.75" thickTop="1" x14ac:dyDescent="0.25">
      <c r="B34" s="340" t="s">
        <v>296</v>
      </c>
      <c r="C34" s="341" t="s">
        <v>414</v>
      </c>
      <c r="D34" s="342">
        <v>2</v>
      </c>
      <c r="E34" s="326">
        <v>48802</v>
      </c>
      <c r="F34" s="325">
        <v>8</v>
      </c>
      <c r="G34" s="326">
        <f>D34*E34/F34</f>
        <v>12200.5</v>
      </c>
    </row>
    <row r="35" spans="2:7" ht="15.75" thickBot="1" x14ac:dyDescent="0.3">
      <c r="B35" s="343" t="s">
        <v>298</v>
      </c>
      <c r="C35" s="344" t="s">
        <v>415</v>
      </c>
      <c r="D35" s="342">
        <v>97</v>
      </c>
      <c r="E35" s="326">
        <v>96924</v>
      </c>
      <c r="F35" s="325">
        <v>8</v>
      </c>
      <c r="G35" s="326">
        <f>D35*E35/F35</f>
        <v>1175203.5</v>
      </c>
    </row>
    <row r="36" spans="2:7" ht="16.5" thickTop="1" thickBot="1" x14ac:dyDescent="0.3">
      <c r="D36" s="5">
        <v>2</v>
      </c>
      <c r="F36" s="314" t="s">
        <v>398</v>
      </c>
      <c r="G36" s="315">
        <f>SUM(G34:G35)</f>
        <v>1187404</v>
      </c>
    </row>
    <row r="37" spans="2:7" ht="16.5" thickTop="1" thickBot="1" x14ac:dyDescent="0.3">
      <c r="D37" s="5">
        <v>50</v>
      </c>
    </row>
    <row r="38" spans="2:7" ht="16.5" thickTop="1" thickBot="1" x14ac:dyDescent="0.3">
      <c r="B38" s="290" t="s">
        <v>303</v>
      </c>
      <c r="C38" s="933" t="s">
        <v>416</v>
      </c>
      <c r="D38" s="933"/>
      <c r="E38" s="933"/>
      <c r="F38" s="933"/>
      <c r="G38" s="933"/>
    </row>
    <row r="39" spans="2:7" ht="15.75" thickTop="1" x14ac:dyDescent="0.25">
      <c r="B39" s="291"/>
      <c r="C39" s="290"/>
      <c r="D39" s="290"/>
      <c r="E39" s="290"/>
      <c r="F39" s="290"/>
      <c r="G39" s="290" t="s">
        <v>122</v>
      </c>
    </row>
    <row r="40" spans="2:7" x14ac:dyDescent="0.25">
      <c r="B40" s="293"/>
      <c r="C40" s="294" t="s">
        <v>8</v>
      </c>
      <c r="D40" s="294" t="s">
        <v>389</v>
      </c>
      <c r="E40" s="294" t="s">
        <v>182</v>
      </c>
      <c r="F40" s="294" t="s">
        <v>388</v>
      </c>
      <c r="G40" s="294" t="s">
        <v>392</v>
      </c>
    </row>
    <row r="41" spans="2:7" ht="15.75" thickBot="1" x14ac:dyDescent="0.3">
      <c r="B41" s="295"/>
      <c r="C41" s="295"/>
      <c r="D41" s="296" t="s">
        <v>417</v>
      </c>
      <c r="E41" s="296" t="s">
        <v>418</v>
      </c>
      <c r="F41" s="296" t="s">
        <v>419</v>
      </c>
      <c r="G41" s="296" t="s">
        <v>420</v>
      </c>
    </row>
    <row r="42" spans="2:7" ht="15.75" thickTop="1" x14ac:dyDescent="0.25">
      <c r="B42" s="347" t="s">
        <v>306</v>
      </c>
      <c r="C42" s="348" t="s">
        <v>473</v>
      </c>
      <c r="D42" s="349">
        <v>2</v>
      </c>
      <c r="E42" s="350">
        <v>60000</v>
      </c>
      <c r="F42" s="349">
        <v>8</v>
      </c>
      <c r="G42" s="350">
        <f>(D42*E42)/F42</f>
        <v>15000</v>
      </c>
    </row>
    <row r="43" spans="2:7" ht="15.75" thickBot="1" x14ac:dyDescent="0.3">
      <c r="B43" s="331"/>
      <c r="C43" s="351"/>
      <c r="D43" s="299"/>
      <c r="E43" s="299"/>
      <c r="F43" s="299"/>
      <c r="G43" s="292"/>
    </row>
    <row r="44" spans="2:7" ht="16.5" thickTop="1" thickBot="1" x14ac:dyDescent="0.3">
      <c r="F44" s="314" t="s">
        <v>398</v>
      </c>
      <c r="G44" s="315">
        <f>SUM(G42:G43)</f>
        <v>15000</v>
      </c>
    </row>
    <row r="45" spans="2:7" ht="16.5" thickTop="1" thickBot="1" x14ac:dyDescent="0.3">
      <c r="G45" s="269"/>
    </row>
    <row r="46" spans="2:7" ht="16.5" thickTop="1" thickBot="1" x14ac:dyDescent="0.3">
      <c r="B46" s="928" t="s">
        <v>422</v>
      </c>
      <c r="C46" s="929"/>
      <c r="D46" s="929"/>
      <c r="E46" s="929"/>
      <c r="F46" s="352"/>
      <c r="G46" s="353">
        <f>G18+G28+G36+G44</f>
        <v>1981362.03</v>
      </c>
    </row>
    <row r="47" spans="2:7" ht="16.5" thickTop="1" thickBot="1" x14ac:dyDescent="0.3">
      <c r="B47" s="930" t="s">
        <v>423</v>
      </c>
      <c r="C47" s="931"/>
      <c r="D47" s="931"/>
      <c r="E47" s="931"/>
      <c r="F47" s="354">
        <v>0</v>
      </c>
      <c r="G47" s="355"/>
    </row>
    <row r="48" spans="2:7" ht="16.5" thickTop="1" thickBot="1" x14ac:dyDescent="0.3">
      <c r="B48" s="356" t="s">
        <v>424</v>
      </c>
      <c r="C48" s="357"/>
      <c r="D48" s="357"/>
      <c r="E48" s="357"/>
      <c r="F48" s="358"/>
      <c r="G48" s="429">
        <f>ROUND(G46,0)</f>
        <v>1981362</v>
      </c>
    </row>
    <row r="49" spans="1:8" ht="15.75" thickTop="1" x14ac:dyDescent="0.25">
      <c r="G49" s="361"/>
    </row>
    <row r="50" spans="1:8" x14ac:dyDescent="0.25">
      <c r="G50" s="361"/>
    </row>
    <row r="51" spans="1:8" x14ac:dyDescent="0.25">
      <c r="C51" s="362" t="s">
        <v>425</v>
      </c>
      <c r="G51" s="361"/>
    </row>
    <row r="52" spans="1:8" ht="15" customHeight="1" x14ac:dyDescent="0.25">
      <c r="C52" s="932" t="s">
        <v>621</v>
      </c>
      <c r="D52" s="932"/>
      <c r="E52" s="932"/>
      <c r="F52" s="932"/>
      <c r="G52" s="361"/>
    </row>
    <row r="53" spans="1:8" x14ac:dyDescent="0.25">
      <c r="C53" s="379"/>
      <c r="D53" s="379"/>
      <c r="E53" s="379"/>
      <c r="F53" s="379"/>
      <c r="G53" s="361"/>
    </row>
    <row r="54" spans="1:8" x14ac:dyDescent="0.25">
      <c r="C54" s="379"/>
      <c r="D54" s="379"/>
      <c r="E54" s="379"/>
      <c r="F54" s="379"/>
      <c r="G54" s="361"/>
    </row>
    <row r="55" spans="1:8" x14ac:dyDescent="0.25">
      <c r="C55" s="379"/>
      <c r="D55" s="379"/>
      <c r="E55" s="379"/>
      <c r="F55" s="379"/>
      <c r="G55" s="361"/>
    </row>
    <row r="56" spans="1:8" ht="15.75" thickBot="1" x14ac:dyDescent="0.3"/>
    <row r="57" spans="1:8" ht="15.75" thickTop="1" x14ac:dyDescent="0.25">
      <c r="A57" s="940" t="s">
        <v>378</v>
      </c>
      <c r="B57" s="941"/>
      <c r="C57" s="941"/>
      <c r="D57" s="941"/>
      <c r="E57" s="941"/>
      <c r="F57" s="941"/>
      <c r="G57" s="941"/>
      <c r="H57" s="942"/>
    </row>
    <row r="58" spans="1:8" x14ac:dyDescent="0.25">
      <c r="A58" s="943" t="s">
        <v>379</v>
      </c>
      <c r="B58" s="944"/>
      <c r="C58" s="944"/>
      <c r="D58" s="944"/>
      <c r="E58" s="944"/>
      <c r="F58" s="944"/>
      <c r="G58" s="944"/>
      <c r="H58" s="945"/>
    </row>
    <row r="59" spans="1:8" ht="15.75" thickBot="1" x14ac:dyDescent="0.3">
      <c r="A59" s="946" t="s">
        <v>261</v>
      </c>
      <c r="B59" s="947"/>
      <c r="C59" s="947"/>
      <c r="D59" s="947"/>
      <c r="E59" s="947"/>
      <c r="F59" s="947"/>
      <c r="G59" s="947"/>
      <c r="H59" s="948"/>
    </row>
    <row r="60" spans="1:8" ht="16.5" thickTop="1" thickBot="1" x14ac:dyDescent="0.3">
      <c r="A60" s="949" t="s">
        <v>30</v>
      </c>
      <c r="B60" s="950"/>
      <c r="C60" s="950"/>
      <c r="D60" s="950"/>
      <c r="E60" s="950"/>
      <c r="F60" s="950"/>
      <c r="G60" s="950"/>
      <c r="H60" s="951"/>
    </row>
    <row r="61" spans="1:8" ht="15.75" thickTop="1" x14ac:dyDescent="0.25">
      <c r="A61" s="277" t="s">
        <v>380</v>
      </c>
      <c r="B61" s="952" t="str">
        <f>B7</f>
        <v xml:space="preserve">REPOSICION DE SEMAFORIZACION INTERSECCIONES VIALES    </v>
      </c>
      <c r="C61" s="952"/>
      <c r="D61" s="952"/>
      <c r="E61" s="952"/>
      <c r="F61" s="952"/>
      <c r="G61" s="278"/>
      <c r="H61" s="279"/>
    </row>
    <row r="62" spans="1:8" x14ac:dyDescent="0.25">
      <c r="A62" s="280" t="s">
        <v>382</v>
      </c>
      <c r="B62" s="281" t="s">
        <v>492</v>
      </c>
      <c r="C62" s="954" t="s">
        <v>320</v>
      </c>
      <c r="D62" s="954"/>
      <c r="E62" s="954"/>
      <c r="F62" s="283" t="s">
        <v>383</v>
      </c>
      <c r="G62" s="284" t="s">
        <v>302</v>
      </c>
      <c r="H62" s="285"/>
    </row>
    <row r="63" spans="1:8" ht="15.75" thickBot="1" x14ac:dyDescent="0.3">
      <c r="A63" s="286" t="s">
        <v>384</v>
      </c>
      <c r="B63" s="287" t="s">
        <v>323</v>
      </c>
      <c r="C63" s="953" t="s">
        <v>324</v>
      </c>
      <c r="D63" s="953"/>
      <c r="E63" s="953"/>
      <c r="F63" s="288" t="s">
        <v>385</v>
      </c>
      <c r="G63" s="287" t="s">
        <v>620</v>
      </c>
      <c r="H63" s="289"/>
    </row>
    <row r="64" spans="1:8" ht="16.5" thickTop="1" thickBot="1" x14ac:dyDescent="0.3"/>
    <row r="65" spans="2:7" ht="16.5" thickTop="1" thickBot="1" x14ac:dyDescent="0.3">
      <c r="B65" s="290" t="s">
        <v>183</v>
      </c>
      <c r="C65" s="937" t="s">
        <v>386</v>
      </c>
      <c r="D65" s="938"/>
      <c r="E65" s="938"/>
      <c r="F65" s="938"/>
      <c r="G65" s="939"/>
    </row>
    <row r="66" spans="2:7" ht="15.75" thickTop="1" x14ac:dyDescent="0.25">
      <c r="B66" s="291"/>
      <c r="C66" s="290"/>
      <c r="D66" s="290"/>
      <c r="E66" s="290" t="s">
        <v>387</v>
      </c>
      <c r="F66" s="290" t="s">
        <v>388</v>
      </c>
      <c r="G66" s="290" t="s">
        <v>122</v>
      </c>
    </row>
    <row r="67" spans="2:7" x14ac:dyDescent="0.25">
      <c r="B67" s="293"/>
      <c r="C67" s="294" t="s">
        <v>8</v>
      </c>
      <c r="D67" s="294" t="s">
        <v>389</v>
      </c>
      <c r="E67" s="294" t="s">
        <v>390</v>
      </c>
      <c r="F67" s="294" t="s">
        <v>391</v>
      </c>
      <c r="G67" s="294" t="s">
        <v>392</v>
      </c>
    </row>
    <row r="68" spans="2:7" ht="15.75" thickBot="1" x14ac:dyDescent="0.3">
      <c r="B68" s="295"/>
      <c r="C68" s="295"/>
      <c r="D68" s="296" t="s">
        <v>393</v>
      </c>
      <c r="E68" s="296" t="s">
        <v>394</v>
      </c>
      <c r="F68" s="296" t="s">
        <v>395</v>
      </c>
      <c r="G68" s="296" t="s">
        <v>396</v>
      </c>
    </row>
    <row r="69" spans="2:7" ht="15.75" thickTop="1" x14ac:dyDescent="0.25">
      <c r="B69" s="302" t="s">
        <v>185</v>
      </c>
      <c r="C69" s="387" t="s">
        <v>434</v>
      </c>
      <c r="D69" s="349">
        <v>1</v>
      </c>
      <c r="E69" s="388">
        <v>85000</v>
      </c>
      <c r="F69" s="349">
        <v>1</v>
      </c>
      <c r="G69" s="350">
        <f>D69*E69/F69</f>
        <v>85000</v>
      </c>
    </row>
    <row r="70" spans="2:7" x14ac:dyDescent="0.25">
      <c r="B70" s="305" t="s">
        <v>282</v>
      </c>
      <c r="C70" s="310" t="s">
        <v>435</v>
      </c>
      <c r="D70" s="300">
        <v>1</v>
      </c>
      <c r="E70" s="389">
        <v>150000</v>
      </c>
      <c r="F70" s="300">
        <v>15</v>
      </c>
      <c r="G70" s="301">
        <f>D70*E70/F70</f>
        <v>10000</v>
      </c>
    </row>
    <row r="71" spans="2:7" x14ac:dyDescent="0.25">
      <c r="B71" s="305" t="s">
        <v>284</v>
      </c>
      <c r="C71" s="324" t="s">
        <v>495</v>
      </c>
      <c r="D71" s="325">
        <v>1</v>
      </c>
      <c r="E71" s="430">
        <v>80000</v>
      </c>
      <c r="F71" s="325">
        <v>15</v>
      </c>
      <c r="G71" s="301">
        <f>D71*E71/F71</f>
        <v>5333.333333333333</v>
      </c>
    </row>
    <row r="72" spans="2:7" x14ac:dyDescent="0.25">
      <c r="B72" s="305" t="s">
        <v>286</v>
      </c>
      <c r="C72" s="310" t="s">
        <v>496</v>
      </c>
      <c r="D72" s="300">
        <v>1</v>
      </c>
      <c r="E72" s="389">
        <v>393120.36</v>
      </c>
      <c r="F72" s="300">
        <v>15</v>
      </c>
      <c r="G72" s="301">
        <f>D72*E72/F72</f>
        <v>26208.023999999998</v>
      </c>
    </row>
    <row r="73" spans="2:7" ht="15.75" thickBot="1" x14ac:dyDescent="0.3">
      <c r="B73" s="297" t="s">
        <v>436</v>
      </c>
      <c r="C73" s="298" t="s">
        <v>262</v>
      </c>
      <c r="D73" s="299">
        <v>1</v>
      </c>
      <c r="E73" s="390">
        <v>17768.88</v>
      </c>
      <c r="F73" s="300">
        <v>15</v>
      </c>
      <c r="G73" s="301">
        <f>D73*E73/F73</f>
        <v>1184.5920000000001</v>
      </c>
    </row>
    <row r="74" spans="2:7" ht="16.5" thickTop="1" thickBot="1" x14ac:dyDescent="0.3">
      <c r="F74" s="314" t="s">
        <v>398</v>
      </c>
      <c r="G74" s="315">
        <f>SUM(G69:G73)</f>
        <v>127725.94933333332</v>
      </c>
    </row>
    <row r="75" spans="2:7" ht="16.5" thickTop="1" thickBot="1" x14ac:dyDescent="0.3"/>
    <row r="76" spans="2:7" ht="16.5" thickTop="1" thickBot="1" x14ac:dyDescent="0.3">
      <c r="B76" s="317" t="s">
        <v>192</v>
      </c>
      <c r="C76" s="937" t="s">
        <v>399</v>
      </c>
      <c r="D76" s="938"/>
      <c r="E76" s="938"/>
      <c r="F76" s="938"/>
      <c r="G76" s="939"/>
    </row>
    <row r="77" spans="2:7" ht="15.75" thickTop="1" x14ac:dyDescent="0.25">
      <c r="B77" s="318"/>
      <c r="C77" s="290"/>
      <c r="D77" s="290"/>
      <c r="E77" s="290"/>
      <c r="F77" s="290" t="s">
        <v>122</v>
      </c>
      <c r="G77" s="290" t="s">
        <v>122</v>
      </c>
    </row>
    <row r="78" spans="2:7" x14ac:dyDescent="0.25">
      <c r="B78" s="319"/>
      <c r="C78" s="294" t="s">
        <v>8</v>
      </c>
      <c r="D78" s="294" t="s">
        <v>169</v>
      </c>
      <c r="E78" s="294" t="s">
        <v>0</v>
      </c>
      <c r="F78" s="294" t="s">
        <v>400</v>
      </c>
      <c r="G78" s="294" t="s">
        <v>392</v>
      </c>
    </row>
    <row r="79" spans="2:7" ht="15.75" thickBot="1" x14ac:dyDescent="0.3">
      <c r="B79" s="320"/>
      <c r="C79" s="295"/>
      <c r="D79" s="321"/>
      <c r="E79" s="296" t="s">
        <v>401</v>
      </c>
      <c r="F79" s="296" t="s">
        <v>402</v>
      </c>
      <c r="G79" s="296" t="s">
        <v>403</v>
      </c>
    </row>
    <row r="80" spans="2:7" ht="15.75" thickTop="1" x14ac:dyDescent="0.25">
      <c r="B80" s="322" t="s">
        <v>289</v>
      </c>
      <c r="C80" s="306" t="s">
        <v>494</v>
      </c>
      <c r="D80" s="307" t="s">
        <v>345</v>
      </c>
      <c r="E80" s="307">
        <v>1</v>
      </c>
      <c r="F80" s="308">
        <v>7636.28</v>
      </c>
      <c r="G80" s="308">
        <f>E80*F80</f>
        <v>7636.28</v>
      </c>
    </row>
    <row r="81" spans="2:7" x14ac:dyDescent="0.25">
      <c r="B81" s="323" t="s">
        <v>291</v>
      </c>
      <c r="C81" s="324" t="s">
        <v>26</v>
      </c>
      <c r="D81" s="325" t="s">
        <v>497</v>
      </c>
      <c r="E81" s="364">
        <v>0.13439999999999999</v>
      </c>
      <c r="F81" s="326">
        <v>109000</v>
      </c>
      <c r="G81" s="326">
        <f>E81*F81</f>
        <v>14649.599999999999</v>
      </c>
    </row>
    <row r="82" spans="2:7" x14ac:dyDescent="0.25">
      <c r="B82" s="327" t="s">
        <v>293</v>
      </c>
      <c r="C82" s="328" t="s">
        <v>25</v>
      </c>
      <c r="D82" s="325" t="s">
        <v>498</v>
      </c>
      <c r="E82" s="365">
        <v>1.68</v>
      </c>
      <c r="F82" s="330">
        <v>26500</v>
      </c>
      <c r="G82" s="326">
        <f>E82*F82</f>
        <v>44520</v>
      </c>
    </row>
    <row r="83" spans="2:7" ht="15.75" thickBot="1" x14ac:dyDescent="0.3">
      <c r="B83" s="331" t="s">
        <v>471</v>
      </c>
      <c r="C83" s="332" t="s">
        <v>27</v>
      </c>
      <c r="D83" s="299" t="s">
        <v>497</v>
      </c>
      <c r="E83" s="366">
        <v>0.2016</v>
      </c>
      <c r="F83" s="334">
        <v>200000</v>
      </c>
      <c r="G83" s="292">
        <f>E83*F83</f>
        <v>40320</v>
      </c>
    </row>
    <row r="84" spans="2:7" ht="15.75" thickTop="1" x14ac:dyDescent="0.25">
      <c r="D84" s="934" t="s">
        <v>404</v>
      </c>
      <c r="E84" s="934"/>
      <c r="F84" s="335"/>
      <c r="G84" s="336"/>
    </row>
    <row r="85" spans="2:7" x14ac:dyDescent="0.25">
      <c r="D85" s="935" t="s">
        <v>405</v>
      </c>
      <c r="E85" s="935"/>
      <c r="F85" s="337"/>
      <c r="G85" s="338"/>
    </row>
    <row r="86" spans="2:7" ht="15.75" thickBot="1" x14ac:dyDescent="0.3">
      <c r="D86" s="936" t="s">
        <v>406</v>
      </c>
      <c r="E86" s="936"/>
      <c r="F86" s="339"/>
      <c r="G86" s="292">
        <f>SUM(G80:G83)</f>
        <v>107125.88</v>
      </c>
    </row>
    <row r="87" spans="2:7" ht="16.5" thickTop="1" thickBot="1" x14ac:dyDescent="0.3"/>
    <row r="88" spans="2:7" ht="16.5" thickTop="1" thickBot="1" x14ac:dyDescent="0.3">
      <c r="B88" s="290" t="s">
        <v>407</v>
      </c>
      <c r="C88" s="937" t="s">
        <v>408</v>
      </c>
      <c r="D88" s="938"/>
      <c r="E88" s="938"/>
      <c r="F88" s="938"/>
      <c r="G88" s="939"/>
    </row>
    <row r="89" spans="2:7" ht="15.75" thickTop="1" x14ac:dyDescent="0.25">
      <c r="B89" s="291"/>
      <c r="C89" s="290"/>
      <c r="D89" s="290"/>
      <c r="E89" s="290" t="s">
        <v>52</v>
      </c>
      <c r="F89" s="290" t="s">
        <v>388</v>
      </c>
      <c r="G89" s="290" t="s">
        <v>122</v>
      </c>
    </row>
    <row r="90" spans="2:7" x14ac:dyDescent="0.25">
      <c r="B90" s="293"/>
      <c r="C90" s="294" t="s">
        <v>8</v>
      </c>
      <c r="D90" s="294" t="s">
        <v>389</v>
      </c>
      <c r="E90" s="294" t="s">
        <v>409</v>
      </c>
      <c r="F90" s="294" t="s">
        <v>391</v>
      </c>
      <c r="G90" s="294" t="s">
        <v>392</v>
      </c>
    </row>
    <row r="91" spans="2:7" ht="15.75" thickBot="1" x14ac:dyDescent="0.3">
      <c r="B91" s="295"/>
      <c r="C91" s="295"/>
      <c r="D91" s="296" t="s">
        <v>410</v>
      </c>
      <c r="E91" s="296" t="s">
        <v>411</v>
      </c>
      <c r="F91" s="296" t="s">
        <v>412</v>
      </c>
      <c r="G91" s="296" t="s">
        <v>413</v>
      </c>
    </row>
    <row r="92" spans="2:7" ht="15.75" thickTop="1" x14ac:dyDescent="0.25">
      <c r="B92" s="340" t="s">
        <v>296</v>
      </c>
      <c r="C92" s="341" t="s">
        <v>414</v>
      </c>
      <c r="D92" s="342">
        <v>2</v>
      </c>
      <c r="E92" s="326">
        <v>48802</v>
      </c>
      <c r="F92" s="325">
        <v>15</v>
      </c>
      <c r="G92" s="326">
        <f>D92*E92/F92</f>
        <v>6506.9333333333334</v>
      </c>
    </row>
    <row r="93" spans="2:7" ht="15.75" thickBot="1" x14ac:dyDescent="0.3">
      <c r="B93" s="343" t="s">
        <v>298</v>
      </c>
      <c r="C93" s="344" t="s">
        <v>415</v>
      </c>
      <c r="D93" s="342">
        <v>1</v>
      </c>
      <c r="E93" s="301">
        <v>96924</v>
      </c>
      <c r="F93" s="325">
        <v>15</v>
      </c>
      <c r="G93" s="326">
        <f>D93*E93/F93</f>
        <v>6461.6</v>
      </c>
    </row>
    <row r="94" spans="2:7" ht="16.5" thickTop="1" thickBot="1" x14ac:dyDescent="0.3">
      <c r="F94" s="314" t="s">
        <v>398</v>
      </c>
      <c r="G94" s="315">
        <f>SUM(G92:G93)</f>
        <v>12968.533333333333</v>
      </c>
    </row>
    <row r="95" spans="2:7" ht="16.5" thickTop="1" thickBot="1" x14ac:dyDescent="0.3"/>
    <row r="96" spans="2:7" ht="16.5" thickTop="1" thickBot="1" x14ac:dyDescent="0.3">
      <c r="B96" s="290" t="s">
        <v>303</v>
      </c>
      <c r="C96" s="937" t="s">
        <v>416</v>
      </c>
      <c r="D96" s="938"/>
      <c r="E96" s="938"/>
      <c r="F96" s="938"/>
      <c r="G96" s="939"/>
    </row>
    <row r="97" spans="2:7" ht="15.75" thickTop="1" x14ac:dyDescent="0.25">
      <c r="B97" s="291"/>
      <c r="C97" s="290"/>
      <c r="D97" s="290"/>
      <c r="E97" s="290"/>
      <c r="F97" s="290"/>
      <c r="G97" s="290" t="s">
        <v>122</v>
      </c>
    </row>
    <row r="98" spans="2:7" x14ac:dyDescent="0.25">
      <c r="B98" s="293"/>
      <c r="C98" s="294" t="s">
        <v>8</v>
      </c>
      <c r="D98" s="294" t="s">
        <v>389</v>
      </c>
      <c r="E98" s="294" t="s">
        <v>182</v>
      </c>
      <c r="F98" s="294" t="s">
        <v>388</v>
      </c>
      <c r="G98" s="294" t="s">
        <v>392</v>
      </c>
    </row>
    <row r="99" spans="2:7" ht="15.75" thickBot="1" x14ac:dyDescent="0.3">
      <c r="B99" s="295"/>
      <c r="C99" s="295"/>
      <c r="D99" s="296" t="s">
        <v>417</v>
      </c>
      <c r="E99" s="296" t="s">
        <v>418</v>
      </c>
      <c r="F99" s="296" t="s">
        <v>419</v>
      </c>
      <c r="G99" s="296" t="s">
        <v>420</v>
      </c>
    </row>
    <row r="100" spans="2:7" ht="15.75" thickTop="1" x14ac:dyDescent="0.25">
      <c r="B100" s="347" t="s">
        <v>306</v>
      </c>
      <c r="C100" s="348" t="s">
        <v>473</v>
      </c>
      <c r="D100" s="349">
        <v>2</v>
      </c>
      <c r="E100" s="350">
        <v>60000</v>
      </c>
      <c r="F100" s="349">
        <v>15</v>
      </c>
      <c r="G100" s="350">
        <f>(D100*E100)/F100</f>
        <v>8000</v>
      </c>
    </row>
    <row r="101" spans="2:7" ht="15.75" thickBot="1" x14ac:dyDescent="0.3">
      <c r="B101" s="331"/>
      <c r="C101" s="351"/>
      <c r="D101" s="299"/>
      <c r="E101" s="299"/>
      <c r="F101" s="299"/>
      <c r="G101" s="292"/>
    </row>
    <row r="102" spans="2:7" ht="16.5" thickTop="1" thickBot="1" x14ac:dyDescent="0.3">
      <c r="F102" s="314" t="s">
        <v>398</v>
      </c>
      <c r="G102" s="315">
        <f>SUM(G100:G101)</f>
        <v>8000</v>
      </c>
    </row>
    <row r="103" spans="2:7" ht="16.5" thickTop="1" thickBot="1" x14ac:dyDescent="0.3">
      <c r="G103" s="269"/>
    </row>
    <row r="104" spans="2:7" ht="16.5" thickTop="1" thickBot="1" x14ac:dyDescent="0.3">
      <c r="B104" s="930" t="s">
        <v>422</v>
      </c>
      <c r="C104" s="931"/>
      <c r="D104" s="931"/>
      <c r="E104" s="931"/>
      <c r="F104" s="352"/>
      <c r="G104" s="353">
        <f>G74+G86+G94+G102</f>
        <v>255820.36266666665</v>
      </c>
    </row>
    <row r="105" spans="2:7" ht="16.5" thickTop="1" thickBot="1" x14ac:dyDescent="0.3">
      <c r="B105" s="930" t="s">
        <v>423</v>
      </c>
      <c r="C105" s="931"/>
      <c r="D105" s="931"/>
      <c r="E105" s="931"/>
      <c r="F105" s="354">
        <v>0</v>
      </c>
      <c r="G105" s="355"/>
    </row>
    <row r="106" spans="2:7" ht="16.5" thickTop="1" thickBot="1" x14ac:dyDescent="0.3">
      <c r="B106" s="356" t="s">
        <v>424</v>
      </c>
      <c r="C106" s="357"/>
      <c r="D106" s="357"/>
      <c r="E106" s="357"/>
      <c r="F106" s="358"/>
      <c r="G106" s="359">
        <f>ROUND(G104,0)</f>
        <v>255820</v>
      </c>
    </row>
    <row r="107" spans="2:7" ht="15.75" thickTop="1" x14ac:dyDescent="0.25">
      <c r="B107" s="376"/>
      <c r="C107" s="376"/>
      <c r="D107" s="376"/>
      <c r="E107" s="376"/>
      <c r="F107" s="377"/>
      <c r="G107" s="378"/>
    </row>
    <row r="108" spans="2:7" x14ac:dyDescent="0.25">
      <c r="B108" s="376"/>
      <c r="C108" s="362" t="s">
        <v>425</v>
      </c>
      <c r="G108" s="378"/>
    </row>
    <row r="109" spans="2:7" ht="15" customHeight="1" x14ac:dyDescent="0.25">
      <c r="B109" s="376"/>
      <c r="C109" s="932" t="s">
        <v>621</v>
      </c>
      <c r="D109" s="932"/>
      <c r="E109" s="932"/>
      <c r="F109" s="932"/>
      <c r="G109" s="378"/>
    </row>
    <row r="110" spans="2:7" x14ac:dyDescent="0.25">
      <c r="B110" s="376"/>
      <c r="C110" s="379"/>
      <c r="D110" s="379"/>
      <c r="E110" s="379"/>
      <c r="F110" s="379"/>
      <c r="G110" s="378"/>
    </row>
    <row r="111" spans="2:7" x14ac:dyDescent="0.25">
      <c r="B111" s="376"/>
      <c r="C111" s="379"/>
      <c r="D111" s="379"/>
      <c r="E111" s="379"/>
      <c r="F111" s="379"/>
      <c r="G111" s="378"/>
    </row>
    <row r="112" spans="2:7" ht="15.75" thickBot="1" x14ac:dyDescent="0.3">
      <c r="B112" s="376"/>
      <c r="C112" s="379"/>
      <c r="D112" s="379"/>
      <c r="E112" s="379"/>
      <c r="F112" s="379"/>
      <c r="G112" s="378"/>
    </row>
    <row r="113" spans="1:8" ht="15.75" thickTop="1" x14ac:dyDescent="0.25">
      <c r="A113" s="940" t="s">
        <v>378</v>
      </c>
      <c r="B113" s="941"/>
      <c r="C113" s="941"/>
      <c r="D113" s="941"/>
      <c r="E113" s="941"/>
      <c r="F113" s="941"/>
      <c r="G113" s="941"/>
      <c r="H113" s="942"/>
    </row>
    <row r="114" spans="1:8" x14ac:dyDescent="0.25">
      <c r="A114" s="943" t="s">
        <v>379</v>
      </c>
      <c r="B114" s="944"/>
      <c r="C114" s="944"/>
      <c r="D114" s="944"/>
      <c r="E114" s="944"/>
      <c r="F114" s="944"/>
      <c r="G114" s="944"/>
      <c r="H114" s="945"/>
    </row>
    <row r="115" spans="1:8" ht="15.75" thickBot="1" x14ac:dyDescent="0.3">
      <c r="A115" s="946" t="s">
        <v>261</v>
      </c>
      <c r="B115" s="947"/>
      <c r="C115" s="947"/>
      <c r="D115" s="947"/>
      <c r="E115" s="947"/>
      <c r="F115" s="947"/>
      <c r="G115" s="947"/>
      <c r="H115" s="948"/>
    </row>
    <row r="116" spans="1:8" ht="16.5" thickTop="1" thickBot="1" x14ac:dyDescent="0.3">
      <c r="A116" s="949" t="s">
        <v>30</v>
      </c>
      <c r="B116" s="950"/>
      <c r="C116" s="950"/>
      <c r="D116" s="950"/>
      <c r="E116" s="950"/>
      <c r="F116" s="950"/>
      <c r="G116" s="950"/>
      <c r="H116" s="951"/>
    </row>
    <row r="117" spans="1:8" ht="15.75" thickTop="1" x14ac:dyDescent="0.25">
      <c r="A117" s="277" t="s">
        <v>380</v>
      </c>
      <c r="B117" s="952" t="str">
        <f>B61</f>
        <v xml:space="preserve">REPOSICION DE SEMAFORIZACION INTERSECCIONES VIALES    </v>
      </c>
      <c r="C117" s="952"/>
      <c r="D117" s="952"/>
      <c r="E117" s="952"/>
      <c r="F117" s="952"/>
      <c r="G117" s="278"/>
      <c r="H117" s="279"/>
    </row>
    <row r="118" spans="1:8" x14ac:dyDescent="0.25">
      <c r="A118" s="280" t="s">
        <v>382</v>
      </c>
      <c r="B118" s="281" t="s">
        <v>492</v>
      </c>
      <c r="C118" s="954" t="s">
        <v>320</v>
      </c>
      <c r="D118" s="954"/>
      <c r="E118" s="954"/>
      <c r="F118" s="283" t="s">
        <v>383</v>
      </c>
      <c r="G118" s="284" t="s">
        <v>302</v>
      </c>
      <c r="H118" s="285"/>
    </row>
    <row r="119" spans="1:8" ht="15.75" thickBot="1" x14ac:dyDescent="0.3">
      <c r="A119" s="286" t="s">
        <v>384</v>
      </c>
      <c r="B119" s="287" t="s">
        <v>325</v>
      </c>
      <c r="C119" s="953" t="s">
        <v>499</v>
      </c>
      <c r="D119" s="953"/>
      <c r="E119" s="953"/>
      <c r="F119" s="288" t="s">
        <v>385</v>
      </c>
      <c r="G119" s="287" t="s">
        <v>620</v>
      </c>
      <c r="H119" s="289"/>
    </row>
    <row r="120" spans="1:8" ht="16.5" thickTop="1" thickBot="1" x14ac:dyDescent="0.3"/>
    <row r="121" spans="1:8" ht="16.5" thickTop="1" thickBot="1" x14ac:dyDescent="0.3">
      <c r="B121" s="290" t="s">
        <v>183</v>
      </c>
      <c r="C121" s="937" t="s">
        <v>386</v>
      </c>
      <c r="D121" s="938"/>
      <c r="E121" s="938"/>
      <c r="F121" s="938"/>
      <c r="G121" s="939"/>
    </row>
    <row r="122" spans="1:8" ht="15.75" thickTop="1" x14ac:dyDescent="0.25">
      <c r="B122" s="291"/>
      <c r="C122" s="290"/>
      <c r="D122" s="290"/>
      <c r="E122" s="290" t="s">
        <v>387</v>
      </c>
      <c r="F122" s="290" t="s">
        <v>388</v>
      </c>
      <c r="G122" s="290" t="s">
        <v>122</v>
      </c>
    </row>
    <row r="123" spans="1:8" x14ac:dyDescent="0.25">
      <c r="B123" s="293"/>
      <c r="C123" s="294" t="s">
        <v>8</v>
      </c>
      <c r="D123" s="294" t="s">
        <v>389</v>
      </c>
      <c r="E123" s="294" t="s">
        <v>390</v>
      </c>
      <c r="F123" s="294" t="s">
        <v>391</v>
      </c>
      <c r="G123" s="294" t="s">
        <v>392</v>
      </c>
    </row>
    <row r="124" spans="1:8" ht="15.75" thickBot="1" x14ac:dyDescent="0.3">
      <c r="B124" s="295"/>
      <c r="C124" s="295"/>
      <c r="D124" s="296" t="s">
        <v>393</v>
      </c>
      <c r="E124" s="296" t="s">
        <v>394</v>
      </c>
      <c r="F124" s="296" t="s">
        <v>395</v>
      </c>
      <c r="G124" s="296" t="s">
        <v>396</v>
      </c>
    </row>
    <row r="125" spans="1:8" ht="15.75" thickTop="1" x14ac:dyDescent="0.25">
      <c r="B125" s="302" t="s">
        <v>185</v>
      </c>
      <c r="C125" s="387" t="s">
        <v>434</v>
      </c>
      <c r="D125" s="349">
        <v>1</v>
      </c>
      <c r="E125" s="388">
        <v>85000</v>
      </c>
      <c r="F125" s="349">
        <v>1</v>
      </c>
      <c r="G125" s="350">
        <f>D125*E125/F125</f>
        <v>85000</v>
      </c>
    </row>
    <row r="126" spans="1:8" x14ac:dyDescent="0.25">
      <c r="B126" s="305" t="s">
        <v>282</v>
      </c>
      <c r="C126" s="310" t="s">
        <v>435</v>
      </c>
      <c r="D126" s="300">
        <v>1</v>
      </c>
      <c r="E126" s="389">
        <v>150000</v>
      </c>
      <c r="F126" s="300">
        <v>15</v>
      </c>
      <c r="G126" s="301">
        <f>D126*E126/F126</f>
        <v>10000</v>
      </c>
    </row>
    <row r="127" spans="1:8" x14ac:dyDescent="0.25">
      <c r="B127" s="305" t="s">
        <v>284</v>
      </c>
      <c r="C127" s="324" t="s">
        <v>495</v>
      </c>
      <c r="D127" s="325">
        <v>1</v>
      </c>
      <c r="E127" s="430">
        <v>80000</v>
      </c>
      <c r="F127" s="325">
        <v>15</v>
      </c>
      <c r="G127" s="301">
        <f>D127*E127/F127</f>
        <v>5333.333333333333</v>
      </c>
    </row>
    <row r="128" spans="1:8" x14ac:dyDescent="0.25">
      <c r="B128" s="305" t="s">
        <v>286</v>
      </c>
      <c r="C128" s="310" t="s">
        <v>496</v>
      </c>
      <c r="D128" s="300">
        <v>1</v>
      </c>
      <c r="E128" s="389">
        <v>393120.36</v>
      </c>
      <c r="F128" s="300">
        <v>15</v>
      </c>
      <c r="G128" s="301">
        <f>D128*E128/F128</f>
        <v>26208.023999999998</v>
      </c>
    </row>
    <row r="129" spans="2:7" ht="15.75" thickBot="1" x14ac:dyDescent="0.3">
      <c r="B129" s="297" t="s">
        <v>436</v>
      </c>
      <c r="C129" s="298" t="s">
        <v>262</v>
      </c>
      <c r="D129" s="299">
        <v>1</v>
      </c>
      <c r="E129" s="390">
        <v>17768.88</v>
      </c>
      <c r="F129" s="300">
        <v>15</v>
      </c>
      <c r="G129" s="301">
        <f>D129*E129/F129</f>
        <v>1184.5920000000001</v>
      </c>
    </row>
    <row r="130" spans="2:7" ht="16.5" thickTop="1" thickBot="1" x14ac:dyDescent="0.3">
      <c r="F130" s="314" t="s">
        <v>398</v>
      </c>
      <c r="G130" s="315">
        <f>SUM(G125:G129)</f>
        <v>127725.94933333332</v>
      </c>
    </row>
    <row r="131" spans="2:7" ht="16.5" thickTop="1" thickBot="1" x14ac:dyDescent="0.3"/>
    <row r="132" spans="2:7" ht="16.5" thickTop="1" thickBot="1" x14ac:dyDescent="0.3">
      <c r="B132" s="317" t="s">
        <v>192</v>
      </c>
      <c r="C132" s="937" t="s">
        <v>399</v>
      </c>
      <c r="D132" s="938"/>
      <c r="E132" s="938"/>
      <c r="F132" s="938"/>
      <c r="G132" s="939"/>
    </row>
    <row r="133" spans="2:7" ht="15.75" thickTop="1" x14ac:dyDescent="0.25">
      <c r="B133" s="318"/>
      <c r="C133" s="290"/>
      <c r="D133" s="290"/>
      <c r="E133" s="290"/>
      <c r="F133" s="290" t="s">
        <v>122</v>
      </c>
      <c r="G133" s="290" t="s">
        <v>122</v>
      </c>
    </row>
    <row r="134" spans="2:7" x14ac:dyDescent="0.25">
      <c r="B134" s="319"/>
      <c r="C134" s="294" t="s">
        <v>8</v>
      </c>
      <c r="D134" s="294" t="s">
        <v>169</v>
      </c>
      <c r="E134" s="294" t="s">
        <v>0</v>
      </c>
      <c r="F134" s="294" t="s">
        <v>400</v>
      </c>
      <c r="G134" s="294" t="s">
        <v>392</v>
      </c>
    </row>
    <row r="135" spans="2:7" ht="15.75" thickBot="1" x14ac:dyDescent="0.3">
      <c r="B135" s="320"/>
      <c r="C135" s="295"/>
      <c r="D135" s="321"/>
      <c r="E135" s="296" t="s">
        <v>401</v>
      </c>
      <c r="F135" s="296" t="s">
        <v>402</v>
      </c>
      <c r="G135" s="296" t="s">
        <v>403</v>
      </c>
    </row>
    <row r="136" spans="2:7" ht="15.75" thickTop="1" x14ac:dyDescent="0.25">
      <c r="B136" s="431" t="s">
        <v>289</v>
      </c>
      <c r="C136" s="432" t="s">
        <v>500</v>
      </c>
      <c r="D136" s="433" t="s">
        <v>345</v>
      </c>
      <c r="E136" s="433">
        <v>1</v>
      </c>
      <c r="F136" s="434">
        <v>4690</v>
      </c>
      <c r="G136" s="435">
        <f>E136*F136</f>
        <v>4690</v>
      </c>
    </row>
    <row r="137" spans="2:7" x14ac:dyDescent="0.25">
      <c r="B137" s="323" t="s">
        <v>291</v>
      </c>
      <c r="C137" s="324" t="s">
        <v>26</v>
      </c>
      <c r="D137" s="325" t="s">
        <v>497</v>
      </c>
      <c r="E137" s="364">
        <v>0.13439999999999999</v>
      </c>
      <c r="F137" s="404">
        <v>109000</v>
      </c>
      <c r="G137" s="326">
        <f>E137*F137</f>
        <v>14649.599999999999</v>
      </c>
    </row>
    <row r="138" spans="2:7" x14ac:dyDescent="0.25">
      <c r="B138" s="327" t="s">
        <v>293</v>
      </c>
      <c r="C138" s="328" t="s">
        <v>25</v>
      </c>
      <c r="D138" s="325" t="s">
        <v>498</v>
      </c>
      <c r="E138" s="365">
        <v>1.68</v>
      </c>
      <c r="F138" s="405">
        <v>26500</v>
      </c>
      <c r="G138" s="326">
        <f>E138*F138</f>
        <v>44520</v>
      </c>
    </row>
    <row r="139" spans="2:7" ht="15.75" thickBot="1" x14ac:dyDescent="0.3">
      <c r="B139" s="331" t="s">
        <v>471</v>
      </c>
      <c r="C139" s="332" t="s">
        <v>27</v>
      </c>
      <c r="D139" s="299" t="s">
        <v>497</v>
      </c>
      <c r="E139" s="366">
        <v>0.2016</v>
      </c>
      <c r="F139" s="406">
        <v>200000</v>
      </c>
      <c r="G139" s="292">
        <f>E139*F139</f>
        <v>40320</v>
      </c>
    </row>
    <row r="140" spans="2:7" ht="15.75" thickTop="1" x14ac:dyDescent="0.25">
      <c r="D140" s="934" t="s">
        <v>404</v>
      </c>
      <c r="E140" s="934"/>
      <c r="F140" s="335"/>
      <c r="G140" s="336"/>
    </row>
    <row r="141" spans="2:7" x14ac:dyDescent="0.25">
      <c r="D141" s="935" t="s">
        <v>405</v>
      </c>
      <c r="E141" s="935"/>
      <c r="F141" s="337"/>
      <c r="G141" s="338"/>
    </row>
    <row r="142" spans="2:7" ht="15.75" thickBot="1" x14ac:dyDescent="0.3">
      <c r="D142" s="936" t="s">
        <v>406</v>
      </c>
      <c r="E142" s="936"/>
      <c r="F142" s="339"/>
      <c r="G142" s="292">
        <f>SUM(G136:G139)</f>
        <v>104179.6</v>
      </c>
    </row>
    <row r="143" spans="2:7" ht="16.5" thickTop="1" thickBot="1" x14ac:dyDescent="0.3"/>
    <row r="144" spans="2:7" ht="16.5" thickTop="1" thickBot="1" x14ac:dyDescent="0.3">
      <c r="B144" s="290" t="s">
        <v>407</v>
      </c>
      <c r="C144" s="937" t="s">
        <v>408</v>
      </c>
      <c r="D144" s="938"/>
      <c r="E144" s="938"/>
      <c r="F144" s="938"/>
      <c r="G144" s="939"/>
    </row>
    <row r="145" spans="2:7" ht="15.75" thickTop="1" x14ac:dyDescent="0.25">
      <c r="B145" s="291"/>
      <c r="C145" s="290"/>
      <c r="D145" s="290"/>
      <c r="E145" s="290" t="s">
        <v>52</v>
      </c>
      <c r="F145" s="290" t="s">
        <v>388</v>
      </c>
      <c r="G145" s="290" t="s">
        <v>122</v>
      </c>
    </row>
    <row r="146" spans="2:7" x14ac:dyDescent="0.25">
      <c r="B146" s="293"/>
      <c r="C146" s="294" t="s">
        <v>8</v>
      </c>
      <c r="D146" s="294" t="s">
        <v>389</v>
      </c>
      <c r="E146" s="294" t="s">
        <v>409</v>
      </c>
      <c r="F146" s="294" t="s">
        <v>391</v>
      </c>
      <c r="G146" s="294" t="s">
        <v>392</v>
      </c>
    </row>
    <row r="147" spans="2:7" ht="15.75" thickBot="1" x14ac:dyDescent="0.3">
      <c r="B147" s="295"/>
      <c r="C147" s="295"/>
      <c r="D147" s="296" t="s">
        <v>410</v>
      </c>
      <c r="E147" s="296" t="s">
        <v>411</v>
      </c>
      <c r="F147" s="296" t="s">
        <v>412</v>
      </c>
      <c r="G147" s="296" t="s">
        <v>413</v>
      </c>
    </row>
    <row r="148" spans="2:7" ht="15.75" thickTop="1" x14ac:dyDescent="0.25">
      <c r="B148" s="340" t="s">
        <v>296</v>
      </c>
      <c r="C148" s="341" t="s">
        <v>414</v>
      </c>
      <c r="D148" s="342">
        <v>2</v>
      </c>
      <c r="E148" s="326">
        <v>48802</v>
      </c>
      <c r="F148" s="325">
        <v>15</v>
      </c>
      <c r="G148" s="326">
        <f>D148*E148/F148</f>
        <v>6506.9333333333334</v>
      </c>
    </row>
    <row r="149" spans="2:7" ht="15.75" thickBot="1" x14ac:dyDescent="0.3">
      <c r="B149" s="343" t="s">
        <v>298</v>
      </c>
      <c r="C149" s="344" t="s">
        <v>415</v>
      </c>
      <c r="D149" s="342">
        <v>1</v>
      </c>
      <c r="E149" s="301">
        <v>96924</v>
      </c>
      <c r="F149" s="325">
        <v>15</v>
      </c>
      <c r="G149" s="326">
        <f>D149*E149/F149</f>
        <v>6461.6</v>
      </c>
    </row>
    <row r="150" spans="2:7" ht="16.5" thickTop="1" thickBot="1" x14ac:dyDescent="0.3">
      <c r="F150" s="314" t="s">
        <v>398</v>
      </c>
      <c r="G150" s="315">
        <f>SUM(G148:G149)</f>
        <v>12968.533333333333</v>
      </c>
    </row>
    <row r="151" spans="2:7" ht="16.5" thickTop="1" thickBot="1" x14ac:dyDescent="0.3"/>
    <row r="152" spans="2:7" ht="16.5" thickTop="1" thickBot="1" x14ac:dyDescent="0.3">
      <c r="B152" s="290" t="s">
        <v>303</v>
      </c>
      <c r="C152" s="937" t="s">
        <v>416</v>
      </c>
      <c r="D152" s="938"/>
      <c r="E152" s="938"/>
      <c r="F152" s="938"/>
      <c r="G152" s="939"/>
    </row>
    <row r="153" spans="2:7" ht="15.75" thickTop="1" x14ac:dyDescent="0.25">
      <c r="B153" s="291"/>
      <c r="C153" s="290"/>
      <c r="D153" s="290"/>
      <c r="E153" s="290"/>
      <c r="F153" s="290"/>
      <c r="G153" s="290" t="s">
        <v>122</v>
      </c>
    </row>
    <row r="154" spans="2:7" x14ac:dyDescent="0.25">
      <c r="B154" s="293"/>
      <c r="C154" s="294" t="s">
        <v>8</v>
      </c>
      <c r="D154" s="294" t="s">
        <v>389</v>
      </c>
      <c r="E154" s="294" t="s">
        <v>182</v>
      </c>
      <c r="F154" s="294" t="s">
        <v>388</v>
      </c>
      <c r="G154" s="294" t="s">
        <v>392</v>
      </c>
    </row>
    <row r="155" spans="2:7" ht="15.75" thickBot="1" x14ac:dyDescent="0.3">
      <c r="B155" s="295"/>
      <c r="C155" s="295"/>
      <c r="D155" s="296" t="s">
        <v>417</v>
      </c>
      <c r="E155" s="296" t="s">
        <v>418</v>
      </c>
      <c r="F155" s="296" t="s">
        <v>419</v>
      </c>
      <c r="G155" s="296" t="s">
        <v>420</v>
      </c>
    </row>
    <row r="156" spans="2:7" ht="15.75" thickTop="1" x14ac:dyDescent="0.25">
      <c r="B156" s="347" t="s">
        <v>306</v>
      </c>
      <c r="C156" s="348" t="s">
        <v>473</v>
      </c>
      <c r="D156" s="349">
        <v>2</v>
      </c>
      <c r="E156" s="350">
        <v>60000</v>
      </c>
      <c r="F156" s="349">
        <v>15</v>
      </c>
      <c r="G156" s="350">
        <f>(D156*E156)/F156</f>
        <v>8000</v>
      </c>
    </row>
    <row r="157" spans="2:7" ht="15.75" thickBot="1" x14ac:dyDescent="0.3">
      <c r="B157" s="331"/>
      <c r="C157" s="351"/>
      <c r="D157" s="299"/>
      <c r="E157" s="299"/>
      <c r="F157" s="299"/>
      <c r="G157" s="292"/>
    </row>
    <row r="158" spans="2:7" ht="16.5" thickTop="1" thickBot="1" x14ac:dyDescent="0.3">
      <c r="F158" s="314" t="s">
        <v>398</v>
      </c>
      <c r="G158" s="315">
        <f>SUM(G156:G157)</f>
        <v>8000</v>
      </c>
    </row>
    <row r="159" spans="2:7" ht="16.5" thickTop="1" thickBot="1" x14ac:dyDescent="0.3">
      <c r="G159" s="269"/>
    </row>
    <row r="160" spans="2:7" ht="16.5" thickTop="1" thickBot="1" x14ac:dyDescent="0.3">
      <c r="B160" s="930" t="s">
        <v>422</v>
      </c>
      <c r="C160" s="931"/>
      <c r="D160" s="931"/>
      <c r="E160" s="931"/>
      <c r="F160" s="352"/>
      <c r="G160" s="353">
        <f>G130+G142+G150+G158</f>
        <v>252874.08266666665</v>
      </c>
    </row>
    <row r="161" spans="1:8" ht="16.5" thickTop="1" thickBot="1" x14ac:dyDescent="0.3">
      <c r="B161" s="930" t="s">
        <v>423</v>
      </c>
      <c r="C161" s="931"/>
      <c r="D161" s="931"/>
      <c r="E161" s="931"/>
      <c r="F161" s="354">
        <v>0</v>
      </c>
      <c r="G161" s="355"/>
    </row>
    <row r="162" spans="1:8" ht="16.5" thickTop="1" thickBot="1" x14ac:dyDescent="0.3">
      <c r="B162" s="356" t="s">
        <v>424</v>
      </c>
      <c r="C162" s="357"/>
      <c r="D162" s="357"/>
      <c r="E162" s="357"/>
      <c r="F162" s="358"/>
      <c r="G162" s="429">
        <f>ROUND(G160,0)</f>
        <v>252874</v>
      </c>
    </row>
    <row r="163" spans="1:8" ht="15.75" thickTop="1" x14ac:dyDescent="0.25">
      <c r="B163" s="376"/>
      <c r="C163" s="376"/>
      <c r="D163" s="376"/>
      <c r="E163" s="376"/>
      <c r="F163" s="377"/>
      <c r="G163" s="378"/>
    </row>
    <row r="164" spans="1:8" x14ac:dyDescent="0.25">
      <c r="B164" s="376"/>
      <c r="C164" s="362" t="s">
        <v>425</v>
      </c>
      <c r="G164" s="378"/>
    </row>
    <row r="165" spans="1:8" ht="15" customHeight="1" x14ac:dyDescent="0.25">
      <c r="B165" s="376"/>
      <c r="C165" s="932" t="s">
        <v>621</v>
      </c>
      <c r="D165" s="932"/>
      <c r="E165" s="932"/>
      <c r="F165" s="932"/>
      <c r="G165" s="378"/>
    </row>
    <row r="166" spans="1:8" ht="15.75" thickBot="1" x14ac:dyDescent="0.3">
      <c r="B166" s="376"/>
      <c r="C166" s="379"/>
      <c r="D166" s="379"/>
      <c r="E166" s="379"/>
      <c r="F166" s="379"/>
      <c r="G166" s="378"/>
    </row>
    <row r="167" spans="1:8" ht="15.75" thickTop="1" x14ac:dyDescent="0.25">
      <c r="A167" s="940" t="s">
        <v>378</v>
      </c>
      <c r="B167" s="941"/>
      <c r="C167" s="941"/>
      <c r="D167" s="941"/>
      <c r="E167" s="941"/>
      <c r="F167" s="941"/>
      <c r="G167" s="941"/>
      <c r="H167" s="942"/>
    </row>
    <row r="168" spans="1:8" x14ac:dyDescent="0.25">
      <c r="A168" s="943" t="s">
        <v>379</v>
      </c>
      <c r="B168" s="944"/>
      <c r="C168" s="944"/>
      <c r="D168" s="944"/>
      <c r="E168" s="944"/>
      <c r="F168" s="944"/>
      <c r="G168" s="944"/>
      <c r="H168" s="945"/>
    </row>
    <row r="169" spans="1:8" ht="15.75" thickBot="1" x14ac:dyDescent="0.3">
      <c r="A169" s="946" t="s">
        <v>261</v>
      </c>
      <c r="B169" s="947"/>
      <c r="C169" s="947"/>
      <c r="D169" s="947"/>
      <c r="E169" s="947"/>
      <c r="F169" s="947"/>
      <c r="G169" s="947"/>
      <c r="H169" s="948"/>
    </row>
    <row r="170" spans="1:8" ht="16.5" thickTop="1" thickBot="1" x14ac:dyDescent="0.3">
      <c r="A170" s="949" t="s">
        <v>30</v>
      </c>
      <c r="B170" s="950"/>
      <c r="C170" s="950"/>
      <c r="D170" s="950"/>
      <c r="E170" s="950"/>
      <c r="F170" s="950"/>
      <c r="G170" s="950"/>
      <c r="H170" s="951"/>
    </row>
    <row r="171" spans="1:8" ht="15.75" thickTop="1" x14ac:dyDescent="0.25">
      <c r="A171" s="277" t="s">
        <v>380</v>
      </c>
      <c r="B171" s="952" t="str">
        <f>B61</f>
        <v xml:space="preserve">REPOSICION DE SEMAFORIZACION INTERSECCIONES VIALES    </v>
      </c>
      <c r="C171" s="952"/>
      <c r="D171" s="952"/>
      <c r="E171" s="952"/>
      <c r="F171" s="952"/>
      <c r="G171" s="278"/>
      <c r="H171" s="279"/>
    </row>
    <row r="172" spans="1:8" x14ac:dyDescent="0.25">
      <c r="A172" s="280" t="s">
        <v>382</v>
      </c>
      <c r="B172" s="281" t="s">
        <v>492</v>
      </c>
      <c r="C172" s="281" t="s">
        <v>320</v>
      </c>
      <c r="D172" s="281"/>
      <c r="E172" s="282"/>
      <c r="F172" s="283" t="s">
        <v>383</v>
      </c>
      <c r="G172" s="284" t="s">
        <v>169</v>
      </c>
      <c r="H172" s="285"/>
    </row>
    <row r="173" spans="1:8" ht="15.75" thickBot="1" x14ac:dyDescent="0.3">
      <c r="A173" s="286" t="s">
        <v>384</v>
      </c>
      <c r="B173" s="287" t="s">
        <v>327</v>
      </c>
      <c r="C173" s="963" t="s">
        <v>501</v>
      </c>
      <c r="D173" s="963"/>
      <c r="E173" s="963"/>
      <c r="F173" s="288" t="s">
        <v>385</v>
      </c>
      <c r="G173" s="287" t="s">
        <v>620</v>
      </c>
      <c r="H173" s="289"/>
    </row>
    <row r="174" spans="1:8" ht="16.5" thickTop="1" thickBot="1" x14ac:dyDescent="0.3"/>
    <row r="175" spans="1:8" ht="16.5" thickTop="1" thickBot="1" x14ac:dyDescent="0.3">
      <c r="B175" s="290" t="s">
        <v>183</v>
      </c>
      <c r="C175" s="937" t="s">
        <v>386</v>
      </c>
      <c r="D175" s="938"/>
      <c r="E175" s="938"/>
      <c r="F175" s="938"/>
      <c r="G175" s="939"/>
    </row>
    <row r="176" spans="1:8" ht="15.75" thickTop="1" x14ac:dyDescent="0.25">
      <c r="B176" s="291"/>
      <c r="C176" s="290"/>
      <c r="D176" s="290"/>
      <c r="E176" s="290" t="s">
        <v>387</v>
      </c>
      <c r="F176" s="290" t="s">
        <v>388</v>
      </c>
      <c r="G176" s="290" t="s">
        <v>122</v>
      </c>
    </row>
    <row r="177" spans="2:8" x14ac:dyDescent="0.25">
      <c r="B177" s="293"/>
      <c r="C177" s="294" t="s">
        <v>8</v>
      </c>
      <c r="D177" s="294" t="s">
        <v>389</v>
      </c>
      <c r="E177" s="294" t="s">
        <v>390</v>
      </c>
      <c r="F177" s="294" t="s">
        <v>391</v>
      </c>
      <c r="G177" s="294" t="s">
        <v>392</v>
      </c>
    </row>
    <row r="178" spans="2:8" ht="15.75" thickBot="1" x14ac:dyDescent="0.3">
      <c r="B178" s="295"/>
      <c r="C178" s="295"/>
      <c r="D178" s="296" t="s">
        <v>393</v>
      </c>
      <c r="E178" s="296" t="s">
        <v>394</v>
      </c>
      <c r="F178" s="296" t="s">
        <v>395</v>
      </c>
      <c r="G178" s="296" t="s">
        <v>396</v>
      </c>
    </row>
    <row r="179" spans="2:8" ht="16.5" thickTop="1" thickBot="1" x14ac:dyDescent="0.3">
      <c r="B179" s="297" t="s">
        <v>185</v>
      </c>
      <c r="C179" s="298" t="s">
        <v>262</v>
      </c>
      <c r="D179" s="299">
        <v>1</v>
      </c>
      <c r="E179" s="292">
        <f>18300*1.16</f>
        <v>21228</v>
      </c>
      <c r="F179" s="300">
        <v>1</v>
      </c>
      <c r="G179" s="301">
        <f>D179*E179/F179</f>
        <v>21228</v>
      </c>
    </row>
    <row r="180" spans="2:8" ht="16.5" thickTop="1" thickBot="1" x14ac:dyDescent="0.3">
      <c r="B180" s="297"/>
      <c r="C180" s="298"/>
      <c r="D180" s="299"/>
      <c r="E180" s="292"/>
      <c r="F180" s="299"/>
      <c r="G180" s="301"/>
    </row>
    <row r="181" spans="2:8" ht="16.5" thickTop="1" thickBot="1" x14ac:dyDescent="0.3">
      <c r="F181" s="314" t="s">
        <v>398</v>
      </c>
      <c r="G181" s="315">
        <f>SUM(G179:G180)</f>
        <v>21228</v>
      </c>
    </row>
    <row r="182" spans="2:8" ht="16.5" thickTop="1" thickBot="1" x14ac:dyDescent="0.3"/>
    <row r="183" spans="2:8" ht="16.5" thickTop="1" thickBot="1" x14ac:dyDescent="0.3">
      <c r="B183" s="317" t="s">
        <v>192</v>
      </c>
      <c r="C183" s="933" t="s">
        <v>399</v>
      </c>
      <c r="D183" s="933"/>
      <c r="E183" s="933"/>
      <c r="F183" s="933"/>
      <c r="G183" s="933"/>
    </row>
    <row r="184" spans="2:8" ht="15.75" thickTop="1" x14ac:dyDescent="0.25">
      <c r="B184" s="318"/>
      <c r="C184" s="290"/>
      <c r="D184" s="290"/>
      <c r="E184" s="290"/>
      <c r="F184" s="290" t="s">
        <v>122</v>
      </c>
      <c r="G184" s="290" t="s">
        <v>122</v>
      </c>
    </row>
    <row r="185" spans="2:8" x14ac:dyDescent="0.25">
      <c r="B185" s="319"/>
      <c r="C185" s="294" t="s">
        <v>8</v>
      </c>
      <c r="D185" s="294" t="s">
        <v>169</v>
      </c>
      <c r="E185" s="294" t="s">
        <v>0</v>
      </c>
      <c r="F185" s="294" t="s">
        <v>400</v>
      </c>
      <c r="G185" s="294" t="s">
        <v>392</v>
      </c>
    </row>
    <row r="186" spans="2:8" ht="15.75" thickBot="1" x14ac:dyDescent="0.3">
      <c r="B186" s="320"/>
      <c r="C186" s="295"/>
      <c r="D186" s="321"/>
      <c r="E186" s="296" t="s">
        <v>401</v>
      </c>
      <c r="F186" s="296" t="s">
        <v>402</v>
      </c>
      <c r="G186" s="296" t="s">
        <v>403</v>
      </c>
    </row>
    <row r="187" spans="2:8" ht="15.75" thickTop="1" x14ac:dyDescent="0.25">
      <c r="B187" s="381" t="s">
        <v>289</v>
      </c>
      <c r="C187" s="382" t="s">
        <v>502</v>
      </c>
      <c r="D187" s="307" t="s">
        <v>429</v>
      </c>
      <c r="E187" s="307">
        <v>4.8</v>
      </c>
      <c r="F187" s="308">
        <v>388</v>
      </c>
      <c r="G187" s="308">
        <f t="shared" ref="G187:G193" si="0">E187*F187</f>
        <v>1862.3999999999999</v>
      </c>
    </row>
    <row r="188" spans="2:8" x14ac:dyDescent="0.25">
      <c r="B188" s="323" t="s">
        <v>291</v>
      </c>
      <c r="C188" s="383" t="s">
        <v>503</v>
      </c>
      <c r="D188" s="325" t="s">
        <v>497</v>
      </c>
      <c r="E188" s="325">
        <v>0.3</v>
      </c>
      <c r="F188" s="404">
        <v>109000</v>
      </c>
      <c r="G188" s="326">
        <f t="shared" si="0"/>
        <v>32700</v>
      </c>
    </row>
    <row r="189" spans="2:8" x14ac:dyDescent="0.25">
      <c r="B189" s="323" t="s">
        <v>293</v>
      </c>
      <c r="C189" s="411" t="s">
        <v>25</v>
      </c>
      <c r="D189" s="325" t="s">
        <v>498</v>
      </c>
      <c r="E189" s="421">
        <v>1</v>
      </c>
      <c r="F189" s="404">
        <v>26500</v>
      </c>
      <c r="G189" s="326">
        <f t="shared" si="0"/>
        <v>26500</v>
      </c>
    </row>
    <row r="190" spans="2:8" ht="15.75" thickBot="1" x14ac:dyDescent="0.3">
      <c r="B190" s="323" t="s">
        <v>471</v>
      </c>
      <c r="C190" s="411" t="s">
        <v>504</v>
      </c>
      <c r="D190" s="325" t="s">
        <v>497</v>
      </c>
      <c r="E190" s="329">
        <v>0.3</v>
      </c>
      <c r="F190" s="406">
        <v>200000</v>
      </c>
      <c r="G190" s="326">
        <f t="shared" si="0"/>
        <v>60000</v>
      </c>
    </row>
    <row r="191" spans="2:8" ht="15.75" thickTop="1" x14ac:dyDescent="0.25">
      <c r="B191" s="323" t="s">
        <v>479</v>
      </c>
      <c r="C191" s="411" t="s">
        <v>505</v>
      </c>
      <c r="D191" s="325" t="s">
        <v>470</v>
      </c>
      <c r="E191" s="329">
        <v>15.57</v>
      </c>
      <c r="F191" s="436">
        <v>2322</v>
      </c>
      <c r="G191" s="326">
        <f t="shared" si="0"/>
        <v>36153.54</v>
      </c>
      <c r="H191" s="330"/>
    </row>
    <row r="192" spans="2:8" x14ac:dyDescent="0.25">
      <c r="B192" s="413" t="s">
        <v>480</v>
      </c>
      <c r="C192" s="411" t="s">
        <v>506</v>
      </c>
      <c r="D192" s="395" t="s">
        <v>497</v>
      </c>
      <c r="E192" s="329">
        <v>1.2500000000000001E-2</v>
      </c>
      <c r="F192" s="436">
        <v>950860.92</v>
      </c>
      <c r="G192" s="326">
        <f t="shared" si="0"/>
        <v>11885.761500000001</v>
      </c>
      <c r="H192" s="414"/>
    </row>
    <row r="193" spans="2:8" ht="15.75" thickBot="1" x14ac:dyDescent="0.3">
      <c r="B193" s="415" t="s">
        <v>481</v>
      </c>
      <c r="C193" s="411" t="s">
        <v>507</v>
      </c>
      <c r="D193" s="299" t="s">
        <v>470</v>
      </c>
      <c r="E193" s="333">
        <v>2.2400000000000002</v>
      </c>
      <c r="F193" s="436">
        <v>2322</v>
      </c>
      <c r="G193" s="292">
        <f t="shared" si="0"/>
        <v>5201.2800000000007</v>
      </c>
      <c r="H193" s="334"/>
    </row>
    <row r="194" spans="2:8" ht="15.75" thickTop="1" x14ac:dyDescent="0.25">
      <c r="D194" s="934" t="s">
        <v>404</v>
      </c>
      <c r="E194" s="934"/>
      <c r="F194" s="335"/>
      <c r="G194" s="336"/>
    </row>
    <row r="195" spans="2:8" x14ac:dyDescent="0.25">
      <c r="D195" s="935" t="s">
        <v>405</v>
      </c>
      <c r="E195" s="935"/>
      <c r="F195" s="337"/>
      <c r="G195" s="338"/>
    </row>
    <row r="196" spans="2:8" ht="15.75" thickBot="1" x14ac:dyDescent="0.3">
      <c r="D196" s="936" t="s">
        <v>406</v>
      </c>
      <c r="E196" s="936"/>
      <c r="F196" s="339"/>
      <c r="G196" s="292">
        <f>SUM(G187:G193)</f>
        <v>174302.98149999999</v>
      </c>
    </row>
    <row r="197" spans="2:8" ht="16.5" thickTop="1" thickBot="1" x14ac:dyDescent="0.3"/>
    <row r="198" spans="2:8" ht="16.5" thickTop="1" thickBot="1" x14ac:dyDescent="0.3">
      <c r="B198" s="290" t="s">
        <v>407</v>
      </c>
      <c r="C198" s="933" t="s">
        <v>408</v>
      </c>
      <c r="D198" s="933"/>
      <c r="E198" s="933"/>
      <c r="F198" s="933"/>
      <c r="G198" s="933"/>
    </row>
    <row r="199" spans="2:8" ht="15.75" thickTop="1" x14ac:dyDescent="0.25">
      <c r="B199" s="291"/>
      <c r="C199" s="290"/>
      <c r="D199" s="290"/>
      <c r="E199" s="290" t="s">
        <v>52</v>
      </c>
      <c r="F199" s="290" t="s">
        <v>388</v>
      </c>
      <c r="G199" s="290" t="s">
        <v>122</v>
      </c>
    </row>
    <row r="200" spans="2:8" x14ac:dyDescent="0.25">
      <c r="B200" s="293"/>
      <c r="C200" s="294" t="s">
        <v>8</v>
      </c>
      <c r="D200" s="294" t="s">
        <v>389</v>
      </c>
      <c r="E200" s="294" t="s">
        <v>409</v>
      </c>
      <c r="F200" s="294" t="s">
        <v>391</v>
      </c>
      <c r="G200" s="294" t="s">
        <v>392</v>
      </c>
    </row>
    <row r="201" spans="2:8" ht="15.75" thickBot="1" x14ac:dyDescent="0.3">
      <c r="B201" s="295"/>
      <c r="C201" s="295"/>
      <c r="D201" s="296" t="s">
        <v>410</v>
      </c>
      <c r="E201" s="296" t="s">
        <v>411</v>
      </c>
      <c r="F201" s="296" t="s">
        <v>412</v>
      </c>
      <c r="G201" s="296" t="s">
        <v>413</v>
      </c>
    </row>
    <row r="202" spans="2:8" ht="15.75" thickTop="1" x14ac:dyDescent="0.25">
      <c r="B202" s="340" t="s">
        <v>296</v>
      </c>
      <c r="C202" s="341" t="s">
        <v>414</v>
      </c>
      <c r="D202" s="342">
        <v>2</v>
      </c>
      <c r="E202" s="326">
        <v>48802</v>
      </c>
      <c r="F202" s="325">
        <v>3</v>
      </c>
      <c r="G202" s="326">
        <f>D202*E202/F202</f>
        <v>32534.666666666668</v>
      </c>
    </row>
    <row r="203" spans="2:8" ht="15.75" thickBot="1" x14ac:dyDescent="0.3">
      <c r="B203" s="343" t="s">
        <v>298</v>
      </c>
      <c r="C203" s="344" t="s">
        <v>415</v>
      </c>
      <c r="D203" s="342">
        <v>1</v>
      </c>
      <c r="E203" s="301">
        <v>96924</v>
      </c>
      <c r="F203" s="325">
        <v>3</v>
      </c>
      <c r="G203" s="326">
        <f>D203*E203/F203</f>
        <v>32308</v>
      </c>
    </row>
    <row r="204" spans="2:8" ht="16.5" thickTop="1" thickBot="1" x14ac:dyDescent="0.3">
      <c r="F204" s="314" t="s">
        <v>398</v>
      </c>
      <c r="G204" s="315">
        <f>SUM(G202:G203)</f>
        <v>64842.666666666672</v>
      </c>
    </row>
    <row r="205" spans="2:8" ht="16.5" thickTop="1" thickBot="1" x14ac:dyDescent="0.3"/>
    <row r="206" spans="2:8" ht="16.5" thickTop="1" thickBot="1" x14ac:dyDescent="0.3">
      <c r="B206" s="290" t="s">
        <v>303</v>
      </c>
      <c r="C206" s="933" t="s">
        <v>416</v>
      </c>
      <c r="D206" s="933"/>
      <c r="E206" s="933"/>
      <c r="F206" s="933"/>
      <c r="G206" s="933"/>
    </row>
    <row r="207" spans="2:8" ht="15.75" thickTop="1" x14ac:dyDescent="0.25">
      <c r="B207" s="291"/>
      <c r="C207" s="290"/>
      <c r="D207" s="290"/>
      <c r="E207" s="290"/>
      <c r="F207" s="290"/>
      <c r="G207" s="290" t="s">
        <v>122</v>
      </c>
    </row>
    <row r="208" spans="2:8" x14ac:dyDescent="0.25">
      <c r="B208" s="293"/>
      <c r="C208" s="294" t="s">
        <v>8</v>
      </c>
      <c r="D208" s="294" t="s">
        <v>389</v>
      </c>
      <c r="E208" s="294" t="s">
        <v>182</v>
      </c>
      <c r="F208" s="294" t="s">
        <v>388</v>
      </c>
      <c r="G208" s="294" t="s">
        <v>392</v>
      </c>
    </row>
    <row r="209" spans="1:9" ht="15.75" thickBot="1" x14ac:dyDescent="0.3">
      <c r="B209" s="295"/>
      <c r="C209" s="295"/>
      <c r="D209" s="296" t="s">
        <v>417</v>
      </c>
      <c r="E209" s="296" t="s">
        <v>418</v>
      </c>
      <c r="F209" s="296" t="s">
        <v>419</v>
      </c>
      <c r="G209" s="296" t="s">
        <v>420</v>
      </c>
    </row>
    <row r="210" spans="1:9" ht="15.75" thickTop="1" x14ac:dyDescent="0.25">
      <c r="B210" s="347" t="s">
        <v>306</v>
      </c>
      <c r="C210" s="348" t="s">
        <v>487</v>
      </c>
      <c r="D210" s="349">
        <v>2</v>
      </c>
      <c r="E210" s="350">
        <v>60000</v>
      </c>
      <c r="F210" s="349">
        <v>3</v>
      </c>
      <c r="G210" s="350">
        <f>(D210*E210)/F210</f>
        <v>40000</v>
      </c>
    </row>
    <row r="211" spans="1:9" ht="15.75" thickBot="1" x14ac:dyDescent="0.3">
      <c r="B211" s="331"/>
      <c r="C211" s="351"/>
      <c r="D211" s="299"/>
      <c r="E211" s="299"/>
      <c r="F211" s="299"/>
      <c r="G211" s="292"/>
    </row>
    <row r="212" spans="1:9" ht="16.5" thickTop="1" thickBot="1" x14ac:dyDescent="0.3">
      <c r="F212" s="314" t="s">
        <v>398</v>
      </c>
      <c r="G212" s="315">
        <f>SUM(G210:G211)</f>
        <v>40000</v>
      </c>
    </row>
    <row r="213" spans="1:9" ht="16.5" thickTop="1" thickBot="1" x14ac:dyDescent="0.3">
      <c r="G213" s="269"/>
    </row>
    <row r="214" spans="1:9" ht="16.5" thickTop="1" thickBot="1" x14ac:dyDescent="0.3">
      <c r="B214" s="928" t="s">
        <v>422</v>
      </c>
      <c r="C214" s="929"/>
      <c r="D214" s="929"/>
      <c r="E214" s="929"/>
      <c r="F214" s="352"/>
      <c r="G214" s="353">
        <f>G181+G196+G204+G212</f>
        <v>300373.64816666668</v>
      </c>
    </row>
    <row r="215" spans="1:9" ht="16.5" thickTop="1" thickBot="1" x14ac:dyDescent="0.3">
      <c r="B215" s="930" t="s">
        <v>423</v>
      </c>
      <c r="C215" s="931"/>
      <c r="D215" s="931"/>
      <c r="E215" s="931"/>
      <c r="F215" s="354">
        <v>0</v>
      </c>
      <c r="G215" s="355"/>
    </row>
    <row r="216" spans="1:9" ht="16.5" thickTop="1" thickBot="1" x14ac:dyDescent="0.3">
      <c r="B216" s="356" t="s">
        <v>424</v>
      </c>
      <c r="C216" s="357"/>
      <c r="D216" s="357"/>
      <c r="E216" s="357"/>
      <c r="F216" s="358"/>
      <c r="G216" s="359">
        <f>ROUND(G214,0)</f>
        <v>300374</v>
      </c>
      <c r="I216" s="313"/>
    </row>
    <row r="217" spans="1:9" ht="15.75" thickTop="1" x14ac:dyDescent="0.25">
      <c r="B217" s="376"/>
      <c r="C217" s="376"/>
      <c r="D217" s="376"/>
      <c r="E217" s="376"/>
      <c r="F217" s="377"/>
      <c r="G217" s="378"/>
    </row>
    <row r="218" spans="1:9" x14ac:dyDescent="0.25">
      <c r="B218" s="376"/>
      <c r="C218" s="362" t="s">
        <v>425</v>
      </c>
      <c r="G218" s="378"/>
    </row>
    <row r="219" spans="1:9" ht="12.75" customHeight="1" x14ac:dyDescent="0.25">
      <c r="B219" s="376"/>
      <c r="C219" s="932" t="s">
        <v>621</v>
      </c>
      <c r="D219" s="932"/>
      <c r="E219" s="932"/>
      <c r="F219" s="932"/>
      <c r="G219" s="378"/>
    </row>
    <row r="220" spans="1:9" x14ac:dyDescent="0.25">
      <c r="B220" s="376"/>
      <c r="C220" s="379"/>
      <c r="D220" s="379"/>
      <c r="E220" s="379"/>
      <c r="F220" s="379"/>
      <c r="G220" s="378"/>
    </row>
    <row r="221" spans="1:9" ht="15.75" thickBot="1" x14ac:dyDescent="0.3">
      <c r="B221" s="376"/>
      <c r="C221" s="379"/>
      <c r="D221" s="379"/>
      <c r="E221" s="379"/>
      <c r="F221" s="379"/>
      <c r="G221" s="378"/>
    </row>
    <row r="222" spans="1:9" ht="15.75" thickTop="1" x14ac:dyDescent="0.25">
      <c r="A222" s="940" t="s">
        <v>378</v>
      </c>
      <c r="B222" s="941"/>
      <c r="C222" s="941"/>
      <c r="D222" s="941"/>
      <c r="E222" s="941"/>
      <c r="F222" s="941"/>
      <c r="G222" s="941"/>
      <c r="H222" s="942"/>
    </row>
    <row r="223" spans="1:9" x14ac:dyDescent="0.25">
      <c r="A223" s="943" t="s">
        <v>379</v>
      </c>
      <c r="B223" s="944"/>
      <c r="C223" s="944"/>
      <c r="D223" s="944"/>
      <c r="E223" s="944"/>
      <c r="F223" s="944"/>
      <c r="G223" s="944"/>
      <c r="H223" s="945"/>
    </row>
    <row r="224" spans="1:9" ht="15.75" thickBot="1" x14ac:dyDescent="0.3">
      <c r="A224" s="946" t="s">
        <v>261</v>
      </c>
      <c r="B224" s="947"/>
      <c r="C224" s="947"/>
      <c r="D224" s="947"/>
      <c r="E224" s="947"/>
      <c r="F224" s="947"/>
      <c r="G224" s="947"/>
      <c r="H224" s="948"/>
    </row>
    <row r="225" spans="1:8" ht="16.5" thickTop="1" thickBot="1" x14ac:dyDescent="0.3">
      <c r="A225" s="949" t="s">
        <v>30</v>
      </c>
      <c r="B225" s="950"/>
      <c r="C225" s="950"/>
      <c r="D225" s="950"/>
      <c r="E225" s="950"/>
      <c r="F225" s="950"/>
      <c r="G225" s="950"/>
      <c r="H225" s="951"/>
    </row>
    <row r="226" spans="1:8" ht="15.75" thickTop="1" x14ac:dyDescent="0.25">
      <c r="A226" s="277" t="s">
        <v>380</v>
      </c>
      <c r="B226" s="952" t="str">
        <f>B171</f>
        <v xml:space="preserve">REPOSICION DE SEMAFORIZACION INTERSECCIONES VIALES    </v>
      </c>
      <c r="C226" s="952"/>
      <c r="D226" s="952"/>
      <c r="E226" s="952"/>
      <c r="F226" s="952"/>
      <c r="G226" s="278"/>
      <c r="H226" s="279"/>
    </row>
    <row r="227" spans="1:8" x14ac:dyDescent="0.25">
      <c r="A227" s="280" t="s">
        <v>382</v>
      </c>
      <c r="B227" s="281" t="s">
        <v>492</v>
      </c>
      <c r="C227" s="961" t="s">
        <v>320</v>
      </c>
      <c r="D227" s="961"/>
      <c r="E227" s="961"/>
      <c r="F227" s="283" t="s">
        <v>383</v>
      </c>
      <c r="G227" s="284" t="s">
        <v>169</v>
      </c>
      <c r="H227" s="285"/>
    </row>
    <row r="228" spans="1:8" ht="15.75" thickBot="1" x14ac:dyDescent="0.3">
      <c r="A228" s="286" t="s">
        <v>384</v>
      </c>
      <c r="B228" s="287" t="s">
        <v>508</v>
      </c>
      <c r="C228" s="953" t="s">
        <v>509</v>
      </c>
      <c r="D228" s="953"/>
      <c r="E228" s="953"/>
      <c r="F228" s="288" t="s">
        <v>385</v>
      </c>
      <c r="G228" s="287" t="s">
        <v>620</v>
      </c>
      <c r="H228" s="289"/>
    </row>
    <row r="229" spans="1:8" ht="16.5" thickTop="1" thickBot="1" x14ac:dyDescent="0.3"/>
    <row r="230" spans="1:8" ht="16.5" thickTop="1" thickBot="1" x14ac:dyDescent="0.3">
      <c r="B230" s="290" t="s">
        <v>183</v>
      </c>
      <c r="C230" s="937" t="s">
        <v>386</v>
      </c>
      <c r="D230" s="938"/>
      <c r="E230" s="938"/>
      <c r="F230" s="938"/>
      <c r="G230" s="939"/>
    </row>
    <row r="231" spans="1:8" ht="15.75" thickTop="1" x14ac:dyDescent="0.25">
      <c r="B231" s="291"/>
      <c r="C231" s="290"/>
      <c r="D231" s="290"/>
      <c r="E231" s="290" t="s">
        <v>387</v>
      </c>
      <c r="F231" s="290" t="s">
        <v>388</v>
      </c>
      <c r="G231" s="290" t="s">
        <v>122</v>
      </c>
    </row>
    <row r="232" spans="1:8" x14ac:dyDescent="0.25">
      <c r="B232" s="293"/>
      <c r="C232" s="294" t="s">
        <v>8</v>
      </c>
      <c r="D232" s="294" t="s">
        <v>389</v>
      </c>
      <c r="E232" s="294" t="s">
        <v>390</v>
      </c>
      <c r="F232" s="294" t="s">
        <v>391</v>
      </c>
      <c r="G232" s="294" t="s">
        <v>392</v>
      </c>
    </row>
    <row r="233" spans="1:8" ht="15.75" thickBot="1" x14ac:dyDescent="0.3">
      <c r="B233" s="295"/>
      <c r="C233" s="295"/>
      <c r="D233" s="296" t="s">
        <v>393</v>
      </c>
      <c r="E233" s="296" t="s">
        <v>394</v>
      </c>
      <c r="F233" s="296" t="s">
        <v>395</v>
      </c>
      <c r="G233" s="296" t="s">
        <v>396</v>
      </c>
    </row>
    <row r="234" spans="1:8" ht="16.5" thickTop="1" thickBot="1" x14ac:dyDescent="0.3">
      <c r="B234" s="297" t="s">
        <v>185</v>
      </c>
      <c r="C234" s="298" t="s">
        <v>262</v>
      </c>
      <c r="D234" s="299">
        <v>1</v>
      </c>
      <c r="E234" s="292">
        <f>18300*1.16</f>
        <v>21228</v>
      </c>
      <c r="F234" s="300">
        <v>1</v>
      </c>
      <c r="G234" s="301">
        <f>D234*E234/F234</f>
        <v>21228</v>
      </c>
    </row>
    <row r="235" spans="1:8" ht="16.5" thickTop="1" thickBot="1" x14ac:dyDescent="0.3">
      <c r="B235" s="297"/>
      <c r="C235" s="298"/>
      <c r="D235" s="299"/>
      <c r="E235" s="292"/>
      <c r="F235" s="299"/>
      <c r="G235" s="301"/>
    </row>
    <row r="236" spans="1:8" ht="16.5" thickTop="1" thickBot="1" x14ac:dyDescent="0.3">
      <c r="F236" s="314" t="s">
        <v>398</v>
      </c>
      <c r="G236" s="315">
        <f>SUM(G234:G235)</f>
        <v>21228</v>
      </c>
    </row>
    <row r="237" spans="1:8" ht="16.5" thickTop="1" thickBot="1" x14ac:dyDescent="0.3"/>
    <row r="238" spans="1:8" ht="16.5" thickTop="1" thickBot="1" x14ac:dyDescent="0.3">
      <c r="B238" s="317" t="s">
        <v>192</v>
      </c>
      <c r="C238" s="933" t="s">
        <v>399</v>
      </c>
      <c r="D238" s="933"/>
      <c r="E238" s="933"/>
      <c r="F238" s="933"/>
      <c r="G238" s="933"/>
    </row>
    <row r="239" spans="1:8" ht="15.75" thickTop="1" x14ac:dyDescent="0.25">
      <c r="B239" s="318"/>
      <c r="C239" s="290"/>
      <c r="D239" s="290"/>
      <c r="E239" s="290"/>
      <c r="F239" s="290" t="s">
        <v>122</v>
      </c>
      <c r="G239" s="290" t="s">
        <v>122</v>
      </c>
    </row>
    <row r="240" spans="1:8" x14ac:dyDescent="0.25">
      <c r="B240" s="319"/>
      <c r="C240" s="294" t="s">
        <v>8</v>
      </c>
      <c r="D240" s="294" t="s">
        <v>169</v>
      </c>
      <c r="E240" s="294" t="s">
        <v>0</v>
      </c>
      <c r="F240" s="294" t="s">
        <v>400</v>
      </c>
      <c r="G240" s="294" t="s">
        <v>392</v>
      </c>
    </row>
    <row r="241" spans="2:8" ht="15.75" thickBot="1" x14ac:dyDescent="0.3">
      <c r="B241" s="320"/>
      <c r="C241" s="295"/>
      <c r="D241" s="321"/>
      <c r="E241" s="296" t="s">
        <v>401</v>
      </c>
      <c r="F241" s="296" t="s">
        <v>402</v>
      </c>
      <c r="G241" s="296" t="s">
        <v>403</v>
      </c>
    </row>
    <row r="242" spans="2:8" ht="15.75" thickTop="1" x14ac:dyDescent="0.25">
      <c r="B242" s="381" t="s">
        <v>289</v>
      </c>
      <c r="C242" s="382" t="s">
        <v>502</v>
      </c>
      <c r="D242" s="307" t="s">
        <v>429</v>
      </c>
      <c r="E242" s="307">
        <v>4.8</v>
      </c>
      <c r="F242" s="308">
        <v>388</v>
      </c>
      <c r="G242" s="308">
        <f t="shared" ref="G242:G248" si="1">E242*F242</f>
        <v>1862.3999999999999</v>
      </c>
    </row>
    <row r="243" spans="2:8" x14ac:dyDescent="0.25">
      <c r="B243" s="323" t="s">
        <v>291</v>
      </c>
      <c r="C243" s="383" t="s">
        <v>503</v>
      </c>
      <c r="D243" s="325" t="s">
        <v>497</v>
      </c>
      <c r="E243" s="364">
        <v>0.7</v>
      </c>
      <c r="F243" s="404">
        <v>109000</v>
      </c>
      <c r="G243" s="326">
        <f t="shared" si="1"/>
        <v>76300</v>
      </c>
    </row>
    <row r="244" spans="2:8" x14ac:dyDescent="0.25">
      <c r="B244" s="323" t="s">
        <v>293</v>
      </c>
      <c r="C244" s="411" t="s">
        <v>25</v>
      </c>
      <c r="D244" s="325" t="s">
        <v>498</v>
      </c>
      <c r="E244" s="421">
        <v>2</v>
      </c>
      <c r="F244" s="404">
        <v>26500.36</v>
      </c>
      <c r="G244" s="326">
        <f t="shared" si="1"/>
        <v>53000.72</v>
      </c>
    </row>
    <row r="245" spans="2:8" ht="15.75" thickBot="1" x14ac:dyDescent="0.3">
      <c r="B245" s="323" t="s">
        <v>471</v>
      </c>
      <c r="C245" s="411" t="s">
        <v>27</v>
      </c>
      <c r="D245" s="325" t="s">
        <v>497</v>
      </c>
      <c r="E245" s="365">
        <v>0.63</v>
      </c>
      <c r="F245" s="406">
        <v>200000</v>
      </c>
      <c r="G245" s="326">
        <f t="shared" si="1"/>
        <v>126000</v>
      </c>
    </row>
    <row r="246" spans="2:8" ht="15.75" thickTop="1" x14ac:dyDescent="0.25">
      <c r="B246" s="323" t="s">
        <v>479</v>
      </c>
      <c r="C246" s="411" t="s">
        <v>505</v>
      </c>
      <c r="D246" s="325" t="s">
        <v>470</v>
      </c>
      <c r="E246" s="365">
        <v>18.815999999999999</v>
      </c>
      <c r="F246" s="436">
        <v>2322</v>
      </c>
      <c r="G246" s="326">
        <f t="shared" si="1"/>
        <v>43690.752</v>
      </c>
    </row>
    <row r="247" spans="2:8" x14ac:dyDescent="0.25">
      <c r="B247" s="413" t="s">
        <v>480</v>
      </c>
      <c r="C247" s="411" t="s">
        <v>506</v>
      </c>
      <c r="D247" s="395" t="s">
        <v>497</v>
      </c>
      <c r="E247" s="329">
        <v>0.04</v>
      </c>
      <c r="F247" s="436">
        <v>950860.92</v>
      </c>
      <c r="G247" s="326">
        <f t="shared" si="1"/>
        <v>38034.436800000003</v>
      </c>
      <c r="H247" s="417"/>
    </row>
    <row r="248" spans="2:8" ht="15.75" thickBot="1" x14ac:dyDescent="0.3">
      <c r="B248" s="415" t="s">
        <v>481</v>
      </c>
      <c r="C248" s="411" t="s">
        <v>507</v>
      </c>
      <c r="D248" s="299" t="s">
        <v>470</v>
      </c>
      <c r="E248" s="333">
        <v>5.6</v>
      </c>
      <c r="F248" s="436">
        <v>2322</v>
      </c>
      <c r="G248" s="418">
        <f t="shared" si="1"/>
        <v>13003.199999999999</v>
      </c>
    </row>
    <row r="249" spans="2:8" ht="15.75" thickTop="1" x14ac:dyDescent="0.25">
      <c r="D249" s="934" t="s">
        <v>404</v>
      </c>
      <c r="E249" s="934"/>
      <c r="F249" s="335"/>
      <c r="G249" s="336"/>
    </row>
    <row r="250" spans="2:8" x14ac:dyDescent="0.25">
      <c r="D250" s="935" t="s">
        <v>405</v>
      </c>
      <c r="E250" s="935"/>
      <c r="F250" s="337"/>
      <c r="G250" s="338"/>
    </row>
    <row r="251" spans="2:8" ht="15.75" thickBot="1" x14ac:dyDescent="0.3">
      <c r="D251" s="936" t="s">
        <v>406</v>
      </c>
      <c r="E251" s="936"/>
      <c r="F251" s="339"/>
      <c r="G251" s="292">
        <f>SUM(G242:G248)</f>
        <v>351891.50880000001</v>
      </c>
    </row>
    <row r="252" spans="2:8" ht="16.5" thickTop="1" thickBot="1" x14ac:dyDescent="0.3"/>
    <row r="253" spans="2:8" ht="16.5" thickTop="1" thickBot="1" x14ac:dyDescent="0.3">
      <c r="B253" s="290" t="s">
        <v>407</v>
      </c>
      <c r="C253" s="933" t="s">
        <v>408</v>
      </c>
      <c r="D253" s="933"/>
      <c r="E253" s="933"/>
      <c r="F253" s="933"/>
      <c r="G253" s="933"/>
    </row>
    <row r="254" spans="2:8" ht="15.75" thickTop="1" x14ac:dyDescent="0.25">
      <c r="B254" s="291"/>
      <c r="C254" s="290"/>
      <c r="D254" s="290"/>
      <c r="E254" s="290" t="s">
        <v>52</v>
      </c>
      <c r="F254" s="290" t="s">
        <v>388</v>
      </c>
      <c r="G254" s="290" t="s">
        <v>122</v>
      </c>
    </row>
    <row r="255" spans="2:8" x14ac:dyDescent="0.25">
      <c r="B255" s="293"/>
      <c r="C255" s="294" t="s">
        <v>8</v>
      </c>
      <c r="D255" s="294" t="s">
        <v>389</v>
      </c>
      <c r="E255" s="294" t="s">
        <v>409</v>
      </c>
      <c r="F255" s="294" t="s">
        <v>391</v>
      </c>
      <c r="G255" s="294" t="s">
        <v>392</v>
      </c>
    </row>
    <row r="256" spans="2:8" ht="15.75" thickBot="1" x14ac:dyDescent="0.3">
      <c r="B256" s="295"/>
      <c r="C256" s="295"/>
      <c r="D256" s="296" t="s">
        <v>410</v>
      </c>
      <c r="E256" s="296" t="s">
        <v>411</v>
      </c>
      <c r="F256" s="296" t="s">
        <v>412</v>
      </c>
      <c r="G256" s="296" t="s">
        <v>413</v>
      </c>
    </row>
    <row r="257" spans="2:7" ht="15.75" thickTop="1" x14ac:dyDescent="0.25">
      <c r="B257" s="340" t="s">
        <v>296</v>
      </c>
      <c r="C257" s="341" t="s">
        <v>414</v>
      </c>
      <c r="D257" s="342">
        <v>2</v>
      </c>
      <c r="E257" s="326">
        <v>48802</v>
      </c>
      <c r="F257" s="325">
        <v>1.5</v>
      </c>
      <c r="G257" s="326">
        <f>D257*E257/F257</f>
        <v>65069.333333333336</v>
      </c>
    </row>
    <row r="258" spans="2:7" ht="15.75" thickBot="1" x14ac:dyDescent="0.3">
      <c r="B258" s="343" t="s">
        <v>298</v>
      </c>
      <c r="C258" s="344" t="s">
        <v>415</v>
      </c>
      <c r="D258" s="342">
        <v>1</v>
      </c>
      <c r="E258" s="301">
        <v>96924</v>
      </c>
      <c r="F258" s="325">
        <v>1.5</v>
      </c>
      <c r="G258" s="326">
        <f>D258*E258/F258</f>
        <v>64616</v>
      </c>
    </row>
    <row r="259" spans="2:7" ht="16.5" thickTop="1" thickBot="1" x14ac:dyDescent="0.3">
      <c r="F259" s="314" t="s">
        <v>398</v>
      </c>
      <c r="G259" s="315">
        <f>SUM(G257:G258)</f>
        <v>129685.33333333334</v>
      </c>
    </row>
    <row r="260" spans="2:7" ht="16.5" thickTop="1" thickBot="1" x14ac:dyDescent="0.3"/>
    <row r="261" spans="2:7" ht="16.5" thickTop="1" thickBot="1" x14ac:dyDescent="0.3">
      <c r="B261" s="290" t="s">
        <v>303</v>
      </c>
      <c r="C261" s="933" t="s">
        <v>416</v>
      </c>
      <c r="D261" s="933"/>
      <c r="E261" s="933"/>
      <c r="F261" s="933"/>
      <c r="G261" s="933"/>
    </row>
    <row r="262" spans="2:7" ht="15.75" thickTop="1" x14ac:dyDescent="0.25">
      <c r="B262" s="291"/>
      <c r="C262" s="290"/>
      <c r="D262" s="290"/>
      <c r="E262" s="290"/>
      <c r="F262" s="290"/>
      <c r="G262" s="290" t="s">
        <v>122</v>
      </c>
    </row>
    <row r="263" spans="2:7" x14ac:dyDescent="0.25">
      <c r="B263" s="293"/>
      <c r="C263" s="294" t="s">
        <v>8</v>
      </c>
      <c r="D263" s="294" t="s">
        <v>389</v>
      </c>
      <c r="E263" s="294" t="s">
        <v>182</v>
      </c>
      <c r="F263" s="294" t="s">
        <v>388</v>
      </c>
      <c r="G263" s="294" t="s">
        <v>392</v>
      </c>
    </row>
    <row r="264" spans="2:7" ht="15.75" thickBot="1" x14ac:dyDescent="0.3">
      <c r="B264" s="295"/>
      <c r="C264" s="295"/>
      <c r="D264" s="296" t="s">
        <v>417</v>
      </c>
      <c r="E264" s="296" t="s">
        <v>418</v>
      </c>
      <c r="F264" s="296" t="s">
        <v>419</v>
      </c>
      <c r="G264" s="296" t="s">
        <v>420</v>
      </c>
    </row>
    <row r="265" spans="2:7" ht="15.75" thickTop="1" x14ac:dyDescent="0.25">
      <c r="B265" s="347" t="s">
        <v>306</v>
      </c>
      <c r="C265" s="348" t="s">
        <v>487</v>
      </c>
      <c r="D265" s="349">
        <v>2</v>
      </c>
      <c r="E265" s="350">
        <v>60000</v>
      </c>
      <c r="F265" s="349">
        <v>3</v>
      </c>
      <c r="G265" s="350">
        <f>(D265*E265)/F265</f>
        <v>40000</v>
      </c>
    </row>
    <row r="266" spans="2:7" ht="15.75" thickBot="1" x14ac:dyDescent="0.3">
      <c r="B266" s="331"/>
      <c r="C266" s="351"/>
      <c r="D266" s="299"/>
      <c r="E266" s="299"/>
      <c r="F266" s="299"/>
      <c r="G266" s="292"/>
    </row>
    <row r="267" spans="2:7" ht="16.5" thickTop="1" thickBot="1" x14ac:dyDescent="0.3">
      <c r="F267" s="314" t="s">
        <v>398</v>
      </c>
      <c r="G267" s="315">
        <f>SUM(G265:G266)</f>
        <v>40000</v>
      </c>
    </row>
    <row r="268" spans="2:7" ht="16.5" thickTop="1" thickBot="1" x14ac:dyDescent="0.3">
      <c r="G268" s="269"/>
    </row>
    <row r="269" spans="2:7" ht="16.5" thickTop="1" thickBot="1" x14ac:dyDescent="0.3">
      <c r="B269" s="928" t="s">
        <v>422</v>
      </c>
      <c r="C269" s="929"/>
      <c r="D269" s="929"/>
      <c r="E269" s="929"/>
      <c r="F269" s="352"/>
      <c r="G269" s="353">
        <f>G236+G251+G259+G267</f>
        <v>542804.84213333332</v>
      </c>
    </row>
    <row r="270" spans="2:7" ht="16.5" thickTop="1" thickBot="1" x14ac:dyDescent="0.3">
      <c r="B270" s="930" t="s">
        <v>423</v>
      </c>
      <c r="C270" s="931"/>
      <c r="D270" s="931"/>
      <c r="E270" s="931"/>
      <c r="F270" s="354">
        <v>0</v>
      </c>
      <c r="G270" s="355"/>
    </row>
    <row r="271" spans="2:7" ht="16.5" thickTop="1" thickBot="1" x14ac:dyDescent="0.3">
      <c r="B271" s="356" t="s">
        <v>424</v>
      </c>
      <c r="C271" s="357"/>
      <c r="D271" s="357"/>
      <c r="E271" s="357"/>
      <c r="F271" s="358"/>
      <c r="G271" s="359">
        <f>ROUND(G269,0)</f>
        <v>542805</v>
      </c>
    </row>
    <row r="272" spans="2:7" ht="15.75" thickTop="1" x14ac:dyDescent="0.25">
      <c r="B272" s="376"/>
      <c r="C272" s="376"/>
      <c r="D272" s="376"/>
      <c r="E272" s="376"/>
      <c r="F272" s="377"/>
      <c r="G272" s="378"/>
    </row>
    <row r="273" spans="1:8" x14ac:dyDescent="0.25">
      <c r="B273" s="376"/>
      <c r="C273" s="362" t="s">
        <v>425</v>
      </c>
      <c r="G273" s="378"/>
    </row>
    <row r="274" spans="1:8" ht="15" customHeight="1" x14ac:dyDescent="0.25">
      <c r="B274" s="241"/>
      <c r="C274" s="932" t="s">
        <v>621</v>
      </c>
      <c r="D274" s="932"/>
      <c r="E274" s="932"/>
      <c r="F274" s="932"/>
      <c r="G274" s="361"/>
    </row>
    <row r="276" spans="1:8" ht="15.75" thickBot="1" x14ac:dyDescent="0.3"/>
    <row r="277" spans="1:8" ht="15.75" thickTop="1" x14ac:dyDescent="0.25">
      <c r="A277" s="940" t="s">
        <v>378</v>
      </c>
      <c r="B277" s="941"/>
      <c r="C277" s="941"/>
      <c r="D277" s="941"/>
      <c r="E277" s="941"/>
      <c r="F277" s="941"/>
      <c r="G277" s="941"/>
      <c r="H277" s="942"/>
    </row>
    <row r="278" spans="1:8" x14ac:dyDescent="0.25">
      <c r="A278" s="943" t="s">
        <v>379</v>
      </c>
      <c r="B278" s="944"/>
      <c r="C278" s="944"/>
      <c r="D278" s="944"/>
      <c r="E278" s="944"/>
      <c r="F278" s="944"/>
      <c r="G278" s="944"/>
      <c r="H278" s="945"/>
    </row>
    <row r="279" spans="1:8" ht="15.75" thickBot="1" x14ac:dyDescent="0.3">
      <c r="A279" s="946" t="s">
        <v>261</v>
      </c>
      <c r="B279" s="947"/>
      <c r="C279" s="947"/>
      <c r="D279" s="947"/>
      <c r="E279" s="947"/>
      <c r="F279" s="947"/>
      <c r="G279" s="947"/>
      <c r="H279" s="948"/>
    </row>
    <row r="280" spans="1:8" ht="16.5" thickTop="1" thickBot="1" x14ac:dyDescent="0.3">
      <c r="A280" s="949" t="s">
        <v>30</v>
      </c>
      <c r="B280" s="950"/>
      <c r="C280" s="950"/>
      <c r="D280" s="950"/>
      <c r="E280" s="950"/>
      <c r="F280" s="950"/>
      <c r="G280" s="950"/>
      <c r="H280" s="951"/>
    </row>
    <row r="281" spans="1:8" ht="15.75" thickTop="1" x14ac:dyDescent="0.25">
      <c r="A281" s="277" t="s">
        <v>380</v>
      </c>
      <c r="B281" s="952" t="str">
        <f>B226</f>
        <v xml:space="preserve">REPOSICION DE SEMAFORIZACION INTERSECCIONES VIALES    </v>
      </c>
      <c r="C281" s="952"/>
      <c r="D281" s="952"/>
      <c r="E281" s="952"/>
      <c r="F281" s="952"/>
      <c r="G281" s="278"/>
      <c r="H281" s="279"/>
    </row>
    <row r="282" spans="1:8" x14ac:dyDescent="0.25">
      <c r="A282" s="280" t="s">
        <v>382</v>
      </c>
      <c r="B282" s="408">
        <v>5</v>
      </c>
      <c r="C282" s="281" t="s">
        <v>320</v>
      </c>
      <c r="D282" s="281"/>
      <c r="E282" s="282"/>
      <c r="F282" s="283" t="s">
        <v>383</v>
      </c>
      <c r="G282" s="284" t="s">
        <v>169</v>
      </c>
      <c r="H282" s="285"/>
    </row>
    <row r="283" spans="1:8" ht="36.75" customHeight="1" thickBot="1" x14ac:dyDescent="0.3">
      <c r="A283" s="286" t="s">
        <v>384</v>
      </c>
      <c r="B283" s="287" t="s">
        <v>330</v>
      </c>
      <c r="C283" s="960" t="s">
        <v>331</v>
      </c>
      <c r="D283" s="960"/>
      <c r="E283" s="960"/>
      <c r="F283" s="288" t="s">
        <v>385</v>
      </c>
      <c r="G283" s="287" t="s">
        <v>620</v>
      </c>
      <c r="H283" s="289"/>
    </row>
    <row r="284" spans="1:8" ht="16.5" thickTop="1" thickBot="1" x14ac:dyDescent="0.3"/>
    <row r="285" spans="1:8" ht="16.5" thickTop="1" thickBot="1" x14ac:dyDescent="0.3">
      <c r="B285" s="290" t="s">
        <v>183</v>
      </c>
      <c r="C285" s="937" t="s">
        <v>386</v>
      </c>
      <c r="D285" s="938"/>
      <c r="E285" s="938"/>
      <c r="F285" s="938"/>
      <c r="G285" s="939"/>
    </row>
    <row r="286" spans="1:8" ht="15.75" thickTop="1" x14ac:dyDescent="0.25">
      <c r="B286" s="291"/>
      <c r="C286" s="290"/>
      <c r="D286" s="290"/>
      <c r="E286" s="290" t="s">
        <v>387</v>
      </c>
      <c r="F286" s="290" t="s">
        <v>388</v>
      </c>
      <c r="G286" s="290" t="s">
        <v>122</v>
      </c>
    </row>
    <row r="287" spans="1:8" x14ac:dyDescent="0.25">
      <c r="B287" s="293"/>
      <c r="C287" s="294" t="s">
        <v>8</v>
      </c>
      <c r="D287" s="294" t="s">
        <v>389</v>
      </c>
      <c r="E287" s="294" t="s">
        <v>390</v>
      </c>
      <c r="F287" s="294" t="s">
        <v>391</v>
      </c>
      <c r="G287" s="294" t="s">
        <v>392</v>
      </c>
    </row>
    <row r="288" spans="1:8" ht="15.75" thickBot="1" x14ac:dyDescent="0.3">
      <c r="B288" s="295"/>
      <c r="C288" s="295"/>
      <c r="D288" s="296" t="s">
        <v>393</v>
      </c>
      <c r="E288" s="296" t="s">
        <v>394</v>
      </c>
      <c r="F288" s="296" t="s">
        <v>395</v>
      </c>
      <c r="G288" s="296" t="s">
        <v>396</v>
      </c>
    </row>
    <row r="289" spans="2:7" ht="16.5" thickTop="1" thickBot="1" x14ac:dyDescent="0.3">
      <c r="B289" s="297" t="s">
        <v>185</v>
      </c>
      <c r="C289" s="298" t="s">
        <v>262</v>
      </c>
      <c r="D289" s="299">
        <v>1</v>
      </c>
      <c r="E289" s="292">
        <f>18300*1.16</f>
        <v>21228</v>
      </c>
      <c r="F289" s="300">
        <v>3</v>
      </c>
      <c r="G289" s="301">
        <f>D289*E289/F289</f>
        <v>7076</v>
      </c>
    </row>
    <row r="290" spans="2:7" ht="16.5" thickTop="1" thickBot="1" x14ac:dyDescent="0.3">
      <c r="B290" s="305" t="s">
        <v>280</v>
      </c>
      <c r="C290" s="310" t="s">
        <v>495</v>
      </c>
      <c r="D290" s="300">
        <v>1</v>
      </c>
      <c r="E290" s="430">
        <v>80000</v>
      </c>
      <c r="F290" s="300">
        <v>3</v>
      </c>
      <c r="G290" s="301">
        <f>D290*E290/F290</f>
        <v>26666.666666666668</v>
      </c>
    </row>
    <row r="291" spans="2:7" ht="16.5" thickTop="1" thickBot="1" x14ac:dyDescent="0.3">
      <c r="B291" s="297" t="s">
        <v>282</v>
      </c>
      <c r="C291" s="298" t="s">
        <v>434</v>
      </c>
      <c r="D291" s="299">
        <v>1</v>
      </c>
      <c r="E291" s="388">
        <v>85000</v>
      </c>
      <c r="F291" s="300">
        <v>3</v>
      </c>
      <c r="G291" s="301">
        <f>D291*E291/F291</f>
        <v>28333.333333333332</v>
      </c>
    </row>
    <row r="292" spans="2:7" ht="16.5" thickTop="1" thickBot="1" x14ac:dyDescent="0.3">
      <c r="F292" s="314" t="s">
        <v>398</v>
      </c>
      <c r="G292" s="315">
        <f>SUM(G289:G291)</f>
        <v>62076</v>
      </c>
    </row>
    <row r="293" spans="2:7" ht="16.5" thickTop="1" thickBot="1" x14ac:dyDescent="0.3"/>
    <row r="294" spans="2:7" ht="16.5" thickTop="1" thickBot="1" x14ac:dyDescent="0.3">
      <c r="B294" s="317" t="s">
        <v>192</v>
      </c>
      <c r="C294" s="933" t="s">
        <v>399</v>
      </c>
      <c r="D294" s="933"/>
      <c r="E294" s="933"/>
      <c r="F294" s="933"/>
      <c r="G294" s="933"/>
    </row>
    <row r="295" spans="2:7" ht="15.75" thickTop="1" x14ac:dyDescent="0.25">
      <c r="B295" s="318"/>
      <c r="C295" s="290"/>
      <c r="D295" s="290"/>
      <c r="E295" s="290"/>
      <c r="F295" s="290" t="s">
        <v>122</v>
      </c>
      <c r="G295" s="290" t="s">
        <v>122</v>
      </c>
    </row>
    <row r="296" spans="2:7" x14ac:dyDescent="0.25">
      <c r="B296" s="319"/>
      <c r="C296" s="294" t="s">
        <v>8</v>
      </c>
      <c r="D296" s="294" t="s">
        <v>169</v>
      </c>
      <c r="E296" s="294" t="s">
        <v>0</v>
      </c>
      <c r="F296" s="294" t="s">
        <v>400</v>
      </c>
      <c r="G296" s="294" t="s">
        <v>392</v>
      </c>
    </row>
    <row r="297" spans="2:7" ht="15.75" thickBot="1" x14ac:dyDescent="0.3">
      <c r="B297" s="320"/>
      <c r="C297" s="295"/>
      <c r="D297" s="321"/>
      <c r="E297" s="296" t="s">
        <v>401</v>
      </c>
      <c r="F297" s="296" t="s">
        <v>402</v>
      </c>
      <c r="G297" s="296" t="s">
        <v>403</v>
      </c>
    </row>
    <row r="298" spans="2:7" ht="15.75" thickTop="1" x14ac:dyDescent="0.25">
      <c r="B298" s="381" t="s">
        <v>289</v>
      </c>
      <c r="C298" s="382" t="s">
        <v>502</v>
      </c>
      <c r="D298" s="307" t="s">
        <v>429</v>
      </c>
      <c r="E298" s="307">
        <v>2.5</v>
      </c>
      <c r="F298" s="308">
        <v>388</v>
      </c>
      <c r="G298" s="308">
        <f t="shared" ref="G298:G303" si="2">E298*F298</f>
        <v>970</v>
      </c>
    </row>
    <row r="299" spans="2:7" x14ac:dyDescent="0.25">
      <c r="B299" s="323" t="s">
        <v>291</v>
      </c>
      <c r="C299" s="324" t="s">
        <v>26</v>
      </c>
      <c r="D299" s="325" t="s">
        <v>497</v>
      </c>
      <c r="E299" s="420">
        <v>0.30464000000000002</v>
      </c>
      <c r="F299" s="404">
        <v>109000</v>
      </c>
      <c r="G299" s="326">
        <f t="shared" si="2"/>
        <v>33205.760000000002</v>
      </c>
    </row>
    <row r="300" spans="2:7" x14ac:dyDescent="0.25">
      <c r="B300" s="323" t="s">
        <v>471</v>
      </c>
      <c r="C300" s="328" t="s">
        <v>25</v>
      </c>
      <c r="D300" s="325" t="s">
        <v>498</v>
      </c>
      <c r="E300" s="421">
        <v>3.8079999999999998</v>
      </c>
      <c r="F300" s="404">
        <v>26500.36</v>
      </c>
      <c r="G300" s="326">
        <f t="shared" si="2"/>
        <v>100913.37088</v>
      </c>
    </row>
    <row r="301" spans="2:7" ht="15.75" thickBot="1" x14ac:dyDescent="0.3">
      <c r="B301" s="323" t="s">
        <v>479</v>
      </c>
      <c r="C301" s="422" t="s">
        <v>27</v>
      </c>
      <c r="D301" s="325" t="s">
        <v>497</v>
      </c>
      <c r="E301" s="421">
        <v>0.45695999999999998</v>
      </c>
      <c r="F301" s="406">
        <v>200000</v>
      </c>
      <c r="G301" s="326">
        <f t="shared" si="2"/>
        <v>91392</v>
      </c>
    </row>
    <row r="302" spans="2:7" ht="16.5" thickTop="1" thickBot="1" x14ac:dyDescent="0.3">
      <c r="B302" s="323" t="s">
        <v>480</v>
      </c>
      <c r="C302" s="328" t="s">
        <v>510</v>
      </c>
      <c r="D302" s="325" t="s">
        <v>470</v>
      </c>
      <c r="E302" s="329">
        <v>33</v>
      </c>
      <c r="F302" s="436">
        <v>2322</v>
      </c>
      <c r="G302" s="326">
        <f t="shared" si="2"/>
        <v>76626</v>
      </c>
    </row>
    <row r="303" spans="2:7" ht="16.5" thickTop="1" thickBot="1" x14ac:dyDescent="0.3">
      <c r="B303" s="331" t="s">
        <v>481</v>
      </c>
      <c r="C303" s="428" t="s">
        <v>494</v>
      </c>
      <c r="D303" s="299" t="s">
        <v>345</v>
      </c>
      <c r="E303" s="333">
        <v>2</v>
      </c>
      <c r="F303" s="308">
        <f>6583*1.16</f>
        <v>7636.28</v>
      </c>
      <c r="G303" s="292">
        <f t="shared" si="2"/>
        <v>15272.56</v>
      </c>
    </row>
    <row r="304" spans="2:7" ht="15.75" thickTop="1" x14ac:dyDescent="0.25">
      <c r="D304" s="934" t="s">
        <v>404</v>
      </c>
      <c r="E304" s="934"/>
      <c r="F304" s="335"/>
      <c r="G304" s="336"/>
    </row>
    <row r="305" spans="2:7" x14ac:dyDescent="0.25">
      <c r="D305" s="935" t="s">
        <v>405</v>
      </c>
      <c r="E305" s="935"/>
      <c r="F305" s="337"/>
      <c r="G305" s="338"/>
    </row>
    <row r="306" spans="2:7" ht="15.75" thickBot="1" x14ac:dyDescent="0.3">
      <c r="D306" s="936" t="s">
        <v>406</v>
      </c>
      <c r="E306" s="936"/>
      <c r="F306" s="339"/>
      <c r="G306" s="292">
        <f>SUM(G298:G303)</f>
        <v>318379.69088000001</v>
      </c>
    </row>
    <row r="307" spans="2:7" ht="16.5" thickTop="1" thickBot="1" x14ac:dyDescent="0.3"/>
    <row r="308" spans="2:7" ht="16.5" thickTop="1" thickBot="1" x14ac:dyDescent="0.3">
      <c r="B308" s="290" t="s">
        <v>407</v>
      </c>
      <c r="C308" s="933" t="s">
        <v>408</v>
      </c>
      <c r="D308" s="933"/>
      <c r="E308" s="933"/>
      <c r="F308" s="933"/>
      <c r="G308" s="933"/>
    </row>
    <row r="309" spans="2:7" ht="15.75" thickTop="1" x14ac:dyDescent="0.25">
      <c r="B309" s="291"/>
      <c r="C309" s="290"/>
      <c r="D309" s="290"/>
      <c r="E309" s="290" t="s">
        <v>52</v>
      </c>
      <c r="F309" s="290" t="s">
        <v>388</v>
      </c>
      <c r="G309" s="290" t="s">
        <v>122</v>
      </c>
    </row>
    <row r="310" spans="2:7" x14ac:dyDescent="0.25">
      <c r="B310" s="293"/>
      <c r="C310" s="294" t="s">
        <v>8</v>
      </c>
      <c r="D310" s="294" t="s">
        <v>389</v>
      </c>
      <c r="E310" s="294" t="s">
        <v>409</v>
      </c>
      <c r="F310" s="294" t="s">
        <v>391</v>
      </c>
      <c r="G310" s="294" t="s">
        <v>392</v>
      </c>
    </row>
    <row r="311" spans="2:7" ht="15.75" thickBot="1" x14ac:dyDescent="0.3">
      <c r="B311" s="295"/>
      <c r="C311" s="295"/>
      <c r="D311" s="296" t="s">
        <v>410</v>
      </c>
      <c r="E311" s="296" t="s">
        <v>411</v>
      </c>
      <c r="F311" s="296" t="s">
        <v>412</v>
      </c>
      <c r="G311" s="296" t="s">
        <v>413</v>
      </c>
    </row>
    <row r="312" spans="2:7" ht="15.75" thickTop="1" x14ac:dyDescent="0.25">
      <c r="B312" s="340" t="s">
        <v>296</v>
      </c>
      <c r="C312" s="341" t="s">
        <v>414</v>
      </c>
      <c r="D312" s="342">
        <v>2</v>
      </c>
      <c r="E312" s="326">
        <v>48802</v>
      </c>
      <c r="F312" s="325">
        <v>3</v>
      </c>
      <c r="G312" s="326">
        <f>D312*E312/F312</f>
        <v>32534.666666666668</v>
      </c>
    </row>
    <row r="313" spans="2:7" ht="15.75" thickBot="1" x14ac:dyDescent="0.3">
      <c r="B313" s="343" t="s">
        <v>298</v>
      </c>
      <c r="C313" s="344" t="s">
        <v>415</v>
      </c>
      <c r="D313" s="342">
        <v>1</v>
      </c>
      <c r="E313" s="301">
        <v>96924</v>
      </c>
      <c r="F313" s="325">
        <v>3</v>
      </c>
      <c r="G313" s="326">
        <f>D313*E313/F313</f>
        <v>32308</v>
      </c>
    </row>
    <row r="314" spans="2:7" ht="16.5" thickTop="1" thickBot="1" x14ac:dyDescent="0.3">
      <c r="F314" s="314" t="s">
        <v>398</v>
      </c>
      <c r="G314" s="315">
        <f>SUM(G312:G313)</f>
        <v>64842.666666666672</v>
      </c>
    </row>
    <row r="315" spans="2:7" ht="16.5" thickTop="1" thickBot="1" x14ac:dyDescent="0.3"/>
    <row r="316" spans="2:7" ht="16.5" thickTop="1" thickBot="1" x14ac:dyDescent="0.3">
      <c r="B316" s="290" t="s">
        <v>303</v>
      </c>
      <c r="C316" s="933" t="s">
        <v>416</v>
      </c>
      <c r="D316" s="933"/>
      <c r="E316" s="933"/>
      <c r="F316" s="933"/>
      <c r="G316" s="933"/>
    </row>
    <row r="317" spans="2:7" ht="15.75" thickTop="1" x14ac:dyDescent="0.25">
      <c r="B317" s="291"/>
      <c r="C317" s="290"/>
      <c r="D317" s="290"/>
      <c r="E317" s="290"/>
      <c r="F317" s="290"/>
      <c r="G317" s="290" t="s">
        <v>122</v>
      </c>
    </row>
    <row r="318" spans="2:7" x14ac:dyDescent="0.25">
      <c r="B318" s="293"/>
      <c r="C318" s="294" t="s">
        <v>8</v>
      </c>
      <c r="D318" s="294" t="s">
        <v>389</v>
      </c>
      <c r="E318" s="294" t="s">
        <v>182</v>
      </c>
      <c r="F318" s="294" t="s">
        <v>388</v>
      </c>
      <c r="G318" s="294" t="s">
        <v>392</v>
      </c>
    </row>
    <row r="319" spans="2:7" ht="15.75" thickBot="1" x14ac:dyDescent="0.3">
      <c r="B319" s="295"/>
      <c r="C319" s="295"/>
      <c r="D319" s="296" t="s">
        <v>417</v>
      </c>
      <c r="E319" s="296" t="s">
        <v>418</v>
      </c>
      <c r="F319" s="296" t="s">
        <v>419</v>
      </c>
      <c r="G319" s="296" t="s">
        <v>420</v>
      </c>
    </row>
    <row r="320" spans="2:7" ht="15.75" thickTop="1" x14ac:dyDescent="0.25">
      <c r="B320" s="347" t="s">
        <v>306</v>
      </c>
      <c r="C320" s="348" t="s">
        <v>451</v>
      </c>
      <c r="D320" s="349">
        <v>1</v>
      </c>
      <c r="E320" s="350">
        <f>58313.31*0.2165+(58313.31)</f>
        <v>70938.141615</v>
      </c>
      <c r="F320" s="349">
        <v>1</v>
      </c>
      <c r="G320" s="350">
        <f>D320*E320*F320</f>
        <v>70938.141615</v>
      </c>
    </row>
    <row r="321" spans="1:8" ht="15.75" thickBot="1" x14ac:dyDescent="0.3">
      <c r="B321" s="331"/>
      <c r="C321" s="351"/>
      <c r="D321" s="299"/>
      <c r="E321" s="299"/>
      <c r="F321" s="299"/>
      <c r="G321" s="292"/>
    </row>
    <row r="322" spans="1:8" ht="16.5" thickTop="1" thickBot="1" x14ac:dyDescent="0.3">
      <c r="F322" s="314" t="s">
        <v>398</v>
      </c>
      <c r="G322" s="315">
        <f>SUM(G320:G321)</f>
        <v>70938.141615</v>
      </c>
    </row>
    <row r="323" spans="1:8" ht="16.5" thickTop="1" thickBot="1" x14ac:dyDescent="0.3">
      <c r="G323" s="269"/>
    </row>
    <row r="324" spans="1:8" ht="16.5" thickTop="1" thickBot="1" x14ac:dyDescent="0.3">
      <c r="B324" s="928" t="s">
        <v>422</v>
      </c>
      <c r="C324" s="929"/>
      <c r="D324" s="929"/>
      <c r="E324" s="929"/>
      <c r="F324" s="352"/>
      <c r="G324" s="353">
        <f>G292+G306+G314+G322</f>
        <v>516236.49916166672</v>
      </c>
    </row>
    <row r="325" spans="1:8" ht="16.5" thickTop="1" thickBot="1" x14ac:dyDescent="0.3">
      <c r="B325" s="930" t="s">
        <v>423</v>
      </c>
      <c r="C325" s="931"/>
      <c r="D325" s="931"/>
      <c r="E325" s="931"/>
      <c r="F325" s="354">
        <v>0</v>
      </c>
      <c r="G325" s="355"/>
    </row>
    <row r="326" spans="1:8" ht="16.5" thickTop="1" thickBot="1" x14ac:dyDescent="0.3">
      <c r="B326" s="356" t="s">
        <v>424</v>
      </c>
      <c r="C326" s="357"/>
      <c r="D326" s="357"/>
      <c r="E326" s="357"/>
      <c r="F326" s="358"/>
      <c r="G326" s="359">
        <f>ROUND(G324,0)</f>
        <v>516236</v>
      </c>
    </row>
    <row r="327" spans="1:8" ht="15.75" thickTop="1" x14ac:dyDescent="0.25">
      <c r="B327" s="376"/>
      <c r="C327" s="376"/>
      <c r="D327" s="376"/>
      <c r="E327" s="376"/>
      <c r="F327" s="377"/>
      <c r="G327" s="378"/>
    </row>
    <row r="328" spans="1:8" x14ac:dyDescent="0.25">
      <c r="B328" s="376"/>
      <c r="C328" s="376"/>
      <c r="D328" s="376"/>
      <c r="E328" s="376"/>
      <c r="F328" s="377"/>
      <c r="G328" s="378"/>
    </row>
    <row r="329" spans="1:8" x14ac:dyDescent="0.25">
      <c r="B329" s="376"/>
      <c r="C329" s="362" t="s">
        <v>425</v>
      </c>
      <c r="G329" s="378"/>
    </row>
    <row r="330" spans="1:8" ht="15" customHeight="1" x14ac:dyDescent="0.25">
      <c r="B330" s="376"/>
      <c r="C330" s="932" t="s">
        <v>621</v>
      </c>
      <c r="D330" s="932"/>
      <c r="E330" s="932"/>
      <c r="F330" s="932"/>
      <c r="G330" s="378"/>
    </row>
    <row r="331" spans="1:8" x14ac:dyDescent="0.25">
      <c r="B331" s="376"/>
      <c r="C331" s="379"/>
      <c r="D331" s="379"/>
      <c r="E331" s="379"/>
      <c r="F331" s="379"/>
      <c r="G331" s="378"/>
    </row>
    <row r="332" spans="1:8" x14ac:dyDescent="0.25">
      <c r="B332" s="376"/>
      <c r="C332" s="379"/>
      <c r="D332" s="379"/>
      <c r="E332" s="379"/>
      <c r="F332" s="379"/>
      <c r="G332" s="378"/>
    </row>
    <row r="333" spans="1:8" ht="15.75" thickBot="1" x14ac:dyDescent="0.3">
      <c r="A333" s="419"/>
      <c r="B333" s="419"/>
      <c r="C333" s="419"/>
      <c r="D333" s="419"/>
      <c r="E333" s="419"/>
      <c r="F333" s="427"/>
      <c r="G333" s="419"/>
      <c r="H333" s="419"/>
    </row>
    <row r="334" spans="1:8" ht="15.75" thickTop="1" x14ac:dyDescent="0.25">
      <c r="A334" s="940" t="s">
        <v>378</v>
      </c>
      <c r="B334" s="941"/>
      <c r="C334" s="941"/>
      <c r="D334" s="941"/>
      <c r="E334" s="941"/>
      <c r="F334" s="941"/>
      <c r="G334" s="941"/>
      <c r="H334" s="942"/>
    </row>
    <row r="335" spans="1:8" x14ac:dyDescent="0.25">
      <c r="A335" s="943" t="s">
        <v>379</v>
      </c>
      <c r="B335" s="944"/>
      <c r="C335" s="944"/>
      <c r="D335" s="944"/>
      <c r="E335" s="944"/>
      <c r="F335" s="944"/>
      <c r="G335" s="944"/>
      <c r="H335" s="945"/>
    </row>
    <row r="336" spans="1:8" ht="15.75" thickBot="1" x14ac:dyDescent="0.3">
      <c r="A336" s="946" t="s">
        <v>261</v>
      </c>
      <c r="B336" s="947"/>
      <c r="C336" s="947"/>
      <c r="D336" s="947"/>
      <c r="E336" s="947"/>
      <c r="F336" s="947"/>
      <c r="G336" s="947"/>
      <c r="H336" s="948"/>
    </row>
    <row r="337" spans="1:8" ht="16.5" thickTop="1" thickBot="1" x14ac:dyDescent="0.3">
      <c r="A337" s="949" t="s">
        <v>30</v>
      </c>
      <c r="B337" s="950"/>
      <c r="C337" s="950"/>
      <c r="D337" s="950"/>
      <c r="E337" s="950"/>
      <c r="F337" s="950"/>
      <c r="G337" s="950"/>
      <c r="H337" s="951"/>
    </row>
    <row r="338" spans="1:8" ht="15.75" thickTop="1" x14ac:dyDescent="0.25">
      <c r="A338" s="277" t="s">
        <v>380</v>
      </c>
      <c r="B338" s="952" t="str">
        <f>B281</f>
        <v xml:space="preserve">REPOSICION DE SEMAFORIZACION INTERSECCIONES VIALES    </v>
      </c>
      <c r="C338" s="952"/>
      <c r="D338" s="952"/>
      <c r="E338" s="952"/>
      <c r="F338" s="952"/>
      <c r="G338" s="278"/>
      <c r="H338" s="279"/>
    </row>
    <row r="339" spans="1:8" x14ac:dyDescent="0.25">
      <c r="A339" s="280" t="s">
        <v>382</v>
      </c>
      <c r="B339" s="281" t="s">
        <v>492</v>
      </c>
      <c r="C339" s="954" t="s">
        <v>320</v>
      </c>
      <c r="D339" s="954"/>
      <c r="E339" s="954"/>
      <c r="F339" s="283" t="s">
        <v>383</v>
      </c>
      <c r="G339" s="284" t="s">
        <v>169</v>
      </c>
      <c r="H339" s="285"/>
    </row>
    <row r="340" spans="1:8" ht="15.75" thickBot="1" x14ac:dyDescent="0.3">
      <c r="A340" s="286" t="s">
        <v>384</v>
      </c>
      <c r="B340" s="287" t="s">
        <v>332</v>
      </c>
      <c r="C340" s="964" t="s">
        <v>333</v>
      </c>
      <c r="D340" s="964"/>
      <c r="E340" s="964"/>
      <c r="F340" s="288" t="s">
        <v>385</v>
      </c>
      <c r="G340" s="287" t="s">
        <v>620</v>
      </c>
      <c r="H340" s="289"/>
    </row>
    <row r="341" spans="1:8" ht="16.5" thickTop="1" thickBot="1" x14ac:dyDescent="0.3"/>
    <row r="342" spans="1:8" ht="16.5" thickTop="1" thickBot="1" x14ac:dyDescent="0.3">
      <c r="B342" s="290" t="s">
        <v>183</v>
      </c>
      <c r="C342" s="937" t="s">
        <v>386</v>
      </c>
      <c r="D342" s="938"/>
      <c r="E342" s="938"/>
      <c r="F342" s="938"/>
      <c r="G342" s="939"/>
    </row>
    <row r="343" spans="1:8" ht="15.75" thickTop="1" x14ac:dyDescent="0.25">
      <c r="B343" s="291"/>
      <c r="C343" s="290"/>
      <c r="D343" s="290"/>
      <c r="E343" s="290" t="s">
        <v>387</v>
      </c>
      <c r="F343" s="290" t="s">
        <v>388</v>
      </c>
      <c r="G343" s="290" t="s">
        <v>122</v>
      </c>
    </row>
    <row r="344" spans="1:8" x14ac:dyDescent="0.25">
      <c r="B344" s="293"/>
      <c r="C344" s="294" t="s">
        <v>8</v>
      </c>
      <c r="D344" s="294" t="s">
        <v>389</v>
      </c>
      <c r="E344" s="294" t="s">
        <v>390</v>
      </c>
      <c r="F344" s="294" t="s">
        <v>391</v>
      </c>
      <c r="G344" s="294" t="s">
        <v>392</v>
      </c>
    </row>
    <row r="345" spans="1:8" ht="15.75" thickBot="1" x14ac:dyDescent="0.3">
      <c r="B345" s="295"/>
      <c r="C345" s="295"/>
      <c r="D345" s="296" t="s">
        <v>393</v>
      </c>
      <c r="E345" s="296" t="s">
        <v>394</v>
      </c>
      <c r="F345" s="296" t="s">
        <v>395</v>
      </c>
      <c r="G345" s="296" t="s">
        <v>396</v>
      </c>
    </row>
    <row r="346" spans="1:8" ht="15.75" thickTop="1" x14ac:dyDescent="0.25">
      <c r="B346" s="347"/>
      <c r="C346" s="387"/>
      <c r="D346" s="349"/>
      <c r="E346" s="437"/>
      <c r="F346" s="349"/>
      <c r="G346" s="350"/>
    </row>
    <row r="347" spans="1:8" ht="15.75" thickBot="1" x14ac:dyDescent="0.3">
      <c r="B347" s="297"/>
      <c r="C347" s="298"/>
      <c r="D347" s="339"/>
      <c r="E347" s="339"/>
      <c r="F347" s="339"/>
      <c r="G347" s="438"/>
    </row>
    <row r="348" spans="1:8" ht="16.5" thickTop="1" thickBot="1" x14ac:dyDescent="0.3">
      <c r="F348" s="314" t="s">
        <v>398</v>
      </c>
      <c r="G348" s="315">
        <f>SUM(G346:G347)</f>
        <v>0</v>
      </c>
    </row>
    <row r="349" spans="1:8" ht="16.5" thickTop="1" thickBot="1" x14ac:dyDescent="0.3"/>
    <row r="350" spans="1:8" ht="16.5" thickTop="1" thickBot="1" x14ac:dyDescent="0.3">
      <c r="B350" s="317" t="s">
        <v>192</v>
      </c>
      <c r="C350" s="933" t="s">
        <v>399</v>
      </c>
      <c r="D350" s="933"/>
      <c r="E350" s="933"/>
      <c r="F350" s="933"/>
      <c r="G350" s="933"/>
    </row>
    <row r="351" spans="1:8" ht="15.75" thickTop="1" x14ac:dyDescent="0.25">
      <c r="B351" s="318"/>
      <c r="C351" s="290"/>
      <c r="D351" s="290"/>
      <c r="E351" s="290"/>
      <c r="F351" s="290" t="s">
        <v>122</v>
      </c>
      <c r="G351" s="290" t="s">
        <v>122</v>
      </c>
    </row>
    <row r="352" spans="1:8" x14ac:dyDescent="0.25">
      <c r="B352" s="319"/>
      <c r="C352" s="294" t="s">
        <v>8</v>
      </c>
      <c r="D352" s="294" t="s">
        <v>169</v>
      </c>
      <c r="E352" s="294" t="s">
        <v>0</v>
      </c>
      <c r="F352" s="294" t="s">
        <v>400</v>
      </c>
      <c r="G352" s="294" t="s">
        <v>392</v>
      </c>
    </row>
    <row r="353" spans="2:7" ht="15.75" thickBot="1" x14ac:dyDescent="0.3">
      <c r="B353" s="320"/>
      <c r="C353" s="295"/>
      <c r="D353" s="321"/>
      <c r="E353" s="296" t="s">
        <v>401</v>
      </c>
      <c r="F353" s="296" t="s">
        <v>402</v>
      </c>
      <c r="G353" s="296" t="s">
        <v>403</v>
      </c>
    </row>
    <row r="354" spans="2:7" ht="15.75" thickTop="1" x14ac:dyDescent="0.25">
      <c r="B354" s="322" t="s">
        <v>289</v>
      </c>
      <c r="C354" s="306" t="s">
        <v>511</v>
      </c>
      <c r="D354" s="307" t="s">
        <v>290</v>
      </c>
      <c r="E354" s="307">
        <v>1</v>
      </c>
      <c r="F354" s="308">
        <v>326000</v>
      </c>
      <c r="G354" s="308">
        <f>E354*F354</f>
        <v>326000</v>
      </c>
    </row>
    <row r="355" spans="2:7" x14ac:dyDescent="0.25">
      <c r="B355" s="327"/>
      <c r="C355" s="324"/>
      <c r="D355" s="325"/>
      <c r="E355" s="325"/>
      <c r="F355" s="326"/>
      <c r="G355" s="326"/>
    </row>
    <row r="356" spans="2:7" x14ac:dyDescent="0.25">
      <c r="B356" s="327"/>
      <c r="C356" s="328"/>
      <c r="D356" s="325"/>
      <c r="E356" s="329"/>
      <c r="F356" s="330"/>
      <c r="G356" s="326"/>
    </row>
    <row r="357" spans="2:7" x14ac:dyDescent="0.25">
      <c r="B357" s="327"/>
      <c r="C357" s="328"/>
      <c r="D357" s="325"/>
      <c r="E357" s="329"/>
      <c r="F357" s="330"/>
      <c r="G357" s="326"/>
    </row>
    <row r="358" spans="2:7" ht="15.75" thickBot="1" x14ac:dyDescent="0.3">
      <c r="B358" s="439"/>
      <c r="C358" s="428"/>
      <c r="D358" s="299"/>
      <c r="E358" s="333"/>
      <c r="F358" s="334"/>
      <c r="G358" s="292"/>
    </row>
    <row r="359" spans="2:7" ht="15.75" thickTop="1" x14ac:dyDescent="0.25">
      <c r="D359" s="934" t="s">
        <v>404</v>
      </c>
      <c r="E359" s="934"/>
      <c r="F359" s="335"/>
      <c r="G359" s="336"/>
    </row>
    <row r="360" spans="2:7" x14ac:dyDescent="0.25">
      <c r="D360" s="935" t="s">
        <v>405</v>
      </c>
      <c r="E360" s="935"/>
      <c r="F360" s="337"/>
      <c r="G360" s="338"/>
    </row>
    <row r="361" spans="2:7" ht="15.75" thickBot="1" x14ac:dyDescent="0.3">
      <c r="D361" s="936" t="s">
        <v>406</v>
      </c>
      <c r="E361" s="936"/>
      <c r="F361" s="339"/>
      <c r="G361" s="292">
        <f>SUM(G354:G358)</f>
        <v>326000</v>
      </c>
    </row>
    <row r="362" spans="2:7" ht="16.5" thickTop="1" thickBot="1" x14ac:dyDescent="0.3"/>
    <row r="363" spans="2:7" ht="16.5" thickTop="1" thickBot="1" x14ac:dyDescent="0.3">
      <c r="B363" s="290" t="s">
        <v>407</v>
      </c>
      <c r="C363" s="933" t="s">
        <v>408</v>
      </c>
      <c r="D363" s="933"/>
      <c r="E363" s="933"/>
      <c r="F363" s="933"/>
      <c r="G363" s="933"/>
    </row>
    <row r="364" spans="2:7" ht="15.75" thickTop="1" x14ac:dyDescent="0.25">
      <c r="B364" s="291"/>
      <c r="C364" s="290"/>
      <c r="D364" s="290"/>
      <c r="E364" s="290" t="s">
        <v>52</v>
      </c>
      <c r="F364" s="290" t="s">
        <v>388</v>
      </c>
      <c r="G364" s="290" t="s">
        <v>122</v>
      </c>
    </row>
    <row r="365" spans="2:7" x14ac:dyDescent="0.25">
      <c r="B365" s="293"/>
      <c r="C365" s="294" t="s">
        <v>8</v>
      </c>
      <c r="D365" s="294" t="s">
        <v>389</v>
      </c>
      <c r="E365" s="294" t="s">
        <v>409</v>
      </c>
      <c r="F365" s="294" t="s">
        <v>391</v>
      </c>
      <c r="G365" s="294" t="s">
        <v>392</v>
      </c>
    </row>
    <row r="366" spans="2:7" ht="15.75" thickBot="1" x14ac:dyDescent="0.3">
      <c r="B366" s="295"/>
      <c r="C366" s="295"/>
      <c r="D366" s="296" t="s">
        <v>410</v>
      </c>
      <c r="E366" s="296" t="s">
        <v>411</v>
      </c>
      <c r="F366" s="296" t="s">
        <v>412</v>
      </c>
      <c r="G366" s="296" t="s">
        <v>413</v>
      </c>
    </row>
    <row r="367" spans="2:7" ht="15.75" thickTop="1" x14ac:dyDescent="0.25">
      <c r="B367" s="340" t="s">
        <v>296</v>
      </c>
      <c r="C367" s="341" t="s">
        <v>414</v>
      </c>
      <c r="D367" s="342">
        <v>2</v>
      </c>
      <c r="E367" s="326">
        <v>48802</v>
      </c>
      <c r="F367" s="325">
        <v>8</v>
      </c>
      <c r="G367" s="326">
        <f>D367*E367/F367</f>
        <v>12200.5</v>
      </c>
    </row>
    <row r="368" spans="2:7" ht="15.75" thickBot="1" x14ac:dyDescent="0.3">
      <c r="B368" s="343"/>
      <c r="C368" s="344"/>
      <c r="D368" s="440"/>
      <c r="E368" s="301"/>
      <c r="F368" s="339"/>
      <c r="G368" s="441"/>
    </row>
    <row r="369" spans="2:7" ht="16.5" thickTop="1" thickBot="1" x14ac:dyDescent="0.3">
      <c r="F369" s="314" t="s">
        <v>398</v>
      </c>
      <c r="G369" s="315">
        <f>SUM(G367:G368)</f>
        <v>12200.5</v>
      </c>
    </row>
    <row r="370" spans="2:7" ht="16.5" thickTop="1" thickBot="1" x14ac:dyDescent="0.3"/>
    <row r="371" spans="2:7" ht="16.5" thickTop="1" thickBot="1" x14ac:dyDescent="0.3">
      <c r="B371" s="290" t="s">
        <v>303</v>
      </c>
      <c r="C371" s="933" t="s">
        <v>416</v>
      </c>
      <c r="D371" s="933"/>
      <c r="E371" s="933"/>
      <c r="F371" s="933"/>
      <c r="G371" s="933"/>
    </row>
    <row r="372" spans="2:7" ht="15.75" thickTop="1" x14ac:dyDescent="0.25">
      <c r="B372" s="291"/>
      <c r="C372" s="290"/>
      <c r="D372" s="290"/>
      <c r="E372" s="290"/>
      <c r="F372" s="290"/>
      <c r="G372" s="290" t="s">
        <v>122</v>
      </c>
    </row>
    <row r="373" spans="2:7" x14ac:dyDescent="0.25">
      <c r="B373" s="293"/>
      <c r="C373" s="294" t="s">
        <v>8</v>
      </c>
      <c r="D373" s="294" t="s">
        <v>389</v>
      </c>
      <c r="E373" s="294" t="s">
        <v>182</v>
      </c>
      <c r="F373" s="294" t="s">
        <v>388</v>
      </c>
      <c r="G373" s="294" t="s">
        <v>392</v>
      </c>
    </row>
    <row r="374" spans="2:7" ht="15.75" thickBot="1" x14ac:dyDescent="0.3">
      <c r="B374" s="295"/>
      <c r="C374" s="295"/>
      <c r="D374" s="296" t="s">
        <v>417</v>
      </c>
      <c r="E374" s="296" t="s">
        <v>418</v>
      </c>
      <c r="F374" s="296" t="s">
        <v>419</v>
      </c>
      <c r="G374" s="296" t="s">
        <v>420</v>
      </c>
    </row>
    <row r="375" spans="2:7" ht="15.75" thickTop="1" x14ac:dyDescent="0.25">
      <c r="B375" s="347" t="s">
        <v>306</v>
      </c>
      <c r="C375" s="387" t="s">
        <v>487</v>
      </c>
      <c r="D375" s="349">
        <v>1</v>
      </c>
      <c r="E375" s="437">
        <v>15000</v>
      </c>
      <c r="F375" s="349">
        <v>1</v>
      </c>
      <c r="G375" s="350">
        <f>D375*E375/F375</f>
        <v>15000</v>
      </c>
    </row>
    <row r="376" spans="2:7" ht="15.75" thickBot="1" x14ac:dyDescent="0.3">
      <c r="B376" s="331"/>
      <c r="C376" s="351"/>
      <c r="D376" s="299"/>
      <c r="E376" s="299"/>
      <c r="F376" s="299"/>
      <c r="G376" s="292"/>
    </row>
    <row r="377" spans="2:7" ht="16.5" thickTop="1" thickBot="1" x14ac:dyDescent="0.3">
      <c r="F377" s="314" t="s">
        <v>398</v>
      </c>
      <c r="G377" s="315">
        <f>SUM(G375:G376)</f>
        <v>15000</v>
      </c>
    </row>
    <row r="378" spans="2:7" ht="16.5" thickTop="1" thickBot="1" x14ac:dyDescent="0.3">
      <c r="G378" s="269"/>
    </row>
    <row r="379" spans="2:7" ht="16.5" thickTop="1" thickBot="1" x14ac:dyDescent="0.3">
      <c r="B379" s="928" t="s">
        <v>422</v>
      </c>
      <c r="C379" s="929"/>
      <c r="D379" s="929"/>
      <c r="E379" s="929"/>
      <c r="F379" s="352"/>
      <c r="G379" s="353">
        <f>G348+G361+G369+G377</f>
        <v>353200.5</v>
      </c>
    </row>
    <row r="380" spans="2:7" ht="16.5" thickTop="1" thickBot="1" x14ac:dyDescent="0.3">
      <c r="B380" s="930" t="s">
        <v>423</v>
      </c>
      <c r="C380" s="931"/>
      <c r="D380" s="931"/>
      <c r="E380" s="931"/>
      <c r="F380" s="354">
        <v>0</v>
      </c>
      <c r="G380" s="355"/>
    </row>
    <row r="381" spans="2:7" ht="16.5" thickTop="1" thickBot="1" x14ac:dyDescent="0.3">
      <c r="B381" s="356" t="s">
        <v>424</v>
      </c>
      <c r="C381" s="357"/>
      <c r="D381" s="357"/>
      <c r="E381" s="357"/>
      <c r="F381" s="358"/>
      <c r="G381" s="359">
        <f>ROUND(G379,0)</f>
        <v>353201</v>
      </c>
    </row>
    <row r="382" spans="2:7" ht="15.75" thickTop="1" x14ac:dyDescent="0.25">
      <c r="G382" s="361"/>
    </row>
    <row r="383" spans="2:7" x14ac:dyDescent="0.25">
      <c r="G383" s="361"/>
    </row>
    <row r="384" spans="2:7" x14ac:dyDescent="0.25">
      <c r="C384" s="362" t="s">
        <v>425</v>
      </c>
      <c r="G384" s="361"/>
    </row>
    <row r="385" spans="1:8" ht="15" customHeight="1" x14ac:dyDescent="0.25">
      <c r="C385" s="932" t="s">
        <v>621</v>
      </c>
      <c r="D385" s="932"/>
      <c r="E385" s="932"/>
      <c r="F385" s="932"/>
      <c r="G385" s="361"/>
    </row>
    <row r="386" spans="1:8" x14ac:dyDescent="0.25">
      <c r="C386" s="379"/>
      <c r="D386" s="379"/>
      <c r="E386" s="379"/>
      <c r="F386" s="379"/>
      <c r="G386" s="361"/>
    </row>
    <row r="387" spans="1:8" x14ac:dyDescent="0.25">
      <c r="C387" s="379"/>
      <c r="D387" s="379"/>
      <c r="E387" s="379"/>
      <c r="F387" s="379"/>
      <c r="G387" s="361"/>
    </row>
    <row r="388" spans="1:8" ht="15.75" thickBot="1" x14ac:dyDescent="0.3">
      <c r="C388" s="379"/>
      <c r="D388" s="379"/>
      <c r="E388" s="379"/>
      <c r="F388" s="379"/>
      <c r="G388" s="361"/>
    </row>
    <row r="389" spans="1:8" ht="15.75" thickTop="1" x14ac:dyDescent="0.25">
      <c r="A389" s="940" t="s">
        <v>378</v>
      </c>
      <c r="B389" s="941"/>
      <c r="C389" s="941"/>
      <c r="D389" s="941"/>
      <c r="E389" s="941"/>
      <c r="F389" s="941"/>
      <c r="G389" s="941"/>
      <c r="H389" s="942"/>
    </row>
    <row r="390" spans="1:8" x14ac:dyDescent="0.25">
      <c r="A390" s="943" t="s">
        <v>379</v>
      </c>
      <c r="B390" s="944"/>
      <c r="C390" s="944"/>
      <c r="D390" s="944"/>
      <c r="E390" s="944"/>
      <c r="F390" s="944"/>
      <c r="G390" s="944"/>
      <c r="H390" s="945"/>
    </row>
    <row r="391" spans="1:8" ht="15.75" thickBot="1" x14ac:dyDescent="0.3">
      <c r="A391" s="946" t="s">
        <v>261</v>
      </c>
      <c r="B391" s="947"/>
      <c r="C391" s="947"/>
      <c r="D391" s="947"/>
      <c r="E391" s="947"/>
      <c r="F391" s="947"/>
      <c r="G391" s="947"/>
      <c r="H391" s="948"/>
    </row>
    <row r="392" spans="1:8" ht="16.5" thickTop="1" thickBot="1" x14ac:dyDescent="0.3">
      <c r="A392" s="949" t="s">
        <v>30</v>
      </c>
      <c r="B392" s="950"/>
      <c r="C392" s="950"/>
      <c r="D392" s="950"/>
      <c r="E392" s="950"/>
      <c r="F392" s="950"/>
      <c r="G392" s="950"/>
      <c r="H392" s="951"/>
    </row>
    <row r="393" spans="1:8" ht="15.75" thickTop="1" x14ac:dyDescent="0.25">
      <c r="A393" s="277" t="s">
        <v>380</v>
      </c>
      <c r="B393" s="952" t="str">
        <f>B338</f>
        <v xml:space="preserve">REPOSICION DE SEMAFORIZACION INTERSECCIONES VIALES    </v>
      </c>
      <c r="C393" s="952"/>
      <c r="D393" s="952"/>
      <c r="E393" s="952"/>
      <c r="F393" s="952"/>
      <c r="G393" s="278"/>
      <c r="H393" s="279"/>
    </row>
    <row r="394" spans="1:8" x14ac:dyDescent="0.25">
      <c r="A394" s="280" t="s">
        <v>382</v>
      </c>
      <c r="B394" s="281" t="s">
        <v>303</v>
      </c>
      <c r="C394" s="281" t="s">
        <v>320</v>
      </c>
      <c r="D394" s="281"/>
      <c r="E394" s="282"/>
      <c r="F394" s="283" t="s">
        <v>383</v>
      </c>
      <c r="G394" s="284" t="s">
        <v>169</v>
      </c>
      <c r="H394" s="285"/>
    </row>
    <row r="395" spans="1:8" ht="15.75" thickBot="1" x14ac:dyDescent="0.3">
      <c r="A395" s="286" t="s">
        <v>384</v>
      </c>
      <c r="B395" s="287" t="s">
        <v>512</v>
      </c>
      <c r="C395" s="963" t="s">
        <v>335</v>
      </c>
      <c r="D395" s="963"/>
      <c r="E395" s="963"/>
      <c r="F395" s="288" t="s">
        <v>385</v>
      </c>
      <c r="G395" s="287" t="s">
        <v>620</v>
      </c>
      <c r="H395" s="289"/>
    </row>
    <row r="396" spans="1:8" ht="16.5" thickTop="1" thickBot="1" x14ac:dyDescent="0.3"/>
    <row r="397" spans="1:8" ht="16.5" thickTop="1" thickBot="1" x14ac:dyDescent="0.3">
      <c r="B397" s="290" t="s">
        <v>183</v>
      </c>
      <c r="C397" s="937" t="s">
        <v>386</v>
      </c>
      <c r="D397" s="938"/>
      <c r="E397" s="938"/>
      <c r="F397" s="938"/>
      <c r="G397" s="939"/>
    </row>
    <row r="398" spans="1:8" ht="15.75" thickTop="1" x14ac:dyDescent="0.25">
      <c r="B398" s="291"/>
      <c r="C398" s="290"/>
      <c r="D398" s="290"/>
      <c r="E398" s="290" t="s">
        <v>387</v>
      </c>
      <c r="F398" s="290" t="s">
        <v>388</v>
      </c>
      <c r="G398" s="290" t="s">
        <v>122</v>
      </c>
    </row>
    <row r="399" spans="1:8" x14ac:dyDescent="0.25">
      <c r="B399" s="293"/>
      <c r="C399" s="294" t="s">
        <v>8</v>
      </c>
      <c r="D399" s="294" t="s">
        <v>389</v>
      </c>
      <c r="E399" s="294" t="s">
        <v>390</v>
      </c>
      <c r="F399" s="294" t="s">
        <v>391</v>
      </c>
      <c r="G399" s="294" t="s">
        <v>392</v>
      </c>
    </row>
    <row r="400" spans="1:8" ht="15.75" thickBot="1" x14ac:dyDescent="0.3">
      <c r="B400" s="295"/>
      <c r="C400" s="295"/>
      <c r="D400" s="296" t="s">
        <v>393</v>
      </c>
      <c r="E400" s="296" t="s">
        <v>394</v>
      </c>
      <c r="F400" s="296" t="s">
        <v>395</v>
      </c>
      <c r="G400" s="296" t="s">
        <v>396</v>
      </c>
    </row>
    <row r="401" spans="2:8" ht="15.75" thickTop="1" x14ac:dyDescent="0.25">
      <c r="B401" s="302" t="s">
        <v>185</v>
      </c>
      <c r="C401" s="348" t="s">
        <v>513</v>
      </c>
      <c r="D401" s="349">
        <v>1</v>
      </c>
      <c r="E401" s="388">
        <v>546675</v>
      </c>
      <c r="F401" s="349">
        <v>2</v>
      </c>
      <c r="G401" s="350">
        <f>D401*E401/F401</f>
        <v>273337.5</v>
      </c>
      <c r="H401" s="391"/>
    </row>
    <row r="402" spans="2:8" ht="15.75" thickBot="1" x14ac:dyDescent="0.3">
      <c r="B402" s="297" t="s">
        <v>185</v>
      </c>
      <c r="C402" s="298" t="s">
        <v>262</v>
      </c>
      <c r="D402" s="299">
        <v>1</v>
      </c>
      <c r="E402" s="390">
        <f>18300*1.16</f>
        <v>21228</v>
      </c>
      <c r="F402" s="300">
        <v>1</v>
      </c>
      <c r="G402" s="301">
        <f>D402*E402/F402</f>
        <v>21228</v>
      </c>
    </row>
    <row r="403" spans="2:8" ht="16.5" thickTop="1" thickBot="1" x14ac:dyDescent="0.3">
      <c r="B403" s="297"/>
      <c r="C403" s="298"/>
      <c r="D403" s="299"/>
      <c r="E403" s="292"/>
      <c r="F403" s="300"/>
      <c r="G403" s="301"/>
    </row>
    <row r="404" spans="2:8" ht="16.5" thickTop="1" thickBot="1" x14ac:dyDescent="0.3">
      <c r="F404" s="314" t="s">
        <v>398</v>
      </c>
      <c r="G404" s="315">
        <f>SUM(G401:G403)</f>
        <v>294565.5</v>
      </c>
    </row>
    <row r="405" spans="2:8" ht="16.5" thickTop="1" thickBot="1" x14ac:dyDescent="0.3"/>
    <row r="406" spans="2:8" ht="16.5" thickTop="1" thickBot="1" x14ac:dyDescent="0.3">
      <c r="B406" s="317" t="s">
        <v>192</v>
      </c>
      <c r="C406" s="933" t="s">
        <v>399</v>
      </c>
      <c r="D406" s="933"/>
      <c r="E406" s="933"/>
      <c r="F406" s="933"/>
      <c r="G406" s="933"/>
    </row>
    <row r="407" spans="2:8" ht="15.75" thickTop="1" x14ac:dyDescent="0.25">
      <c r="B407" s="318"/>
      <c r="C407" s="290"/>
      <c r="D407" s="290"/>
      <c r="E407" s="290"/>
      <c r="F407" s="290" t="s">
        <v>122</v>
      </c>
      <c r="G407" s="290" t="s">
        <v>122</v>
      </c>
    </row>
    <row r="408" spans="2:8" x14ac:dyDescent="0.25">
      <c r="B408" s="319"/>
      <c r="C408" s="294" t="s">
        <v>8</v>
      </c>
      <c r="D408" s="294" t="s">
        <v>169</v>
      </c>
      <c r="E408" s="294" t="s">
        <v>0</v>
      </c>
      <c r="F408" s="294" t="s">
        <v>400</v>
      </c>
      <c r="G408" s="294" t="s">
        <v>392</v>
      </c>
    </row>
    <row r="409" spans="2:8" ht="15.75" thickBot="1" x14ac:dyDescent="0.3">
      <c r="B409" s="320"/>
      <c r="C409" s="295"/>
      <c r="D409" s="321"/>
      <c r="E409" s="296" t="s">
        <v>401</v>
      </c>
      <c r="F409" s="296" t="s">
        <v>402</v>
      </c>
      <c r="G409" s="296" t="s">
        <v>403</v>
      </c>
    </row>
    <row r="410" spans="2:8" ht="15.75" thickTop="1" x14ac:dyDescent="0.25">
      <c r="B410" s="322"/>
      <c r="C410" s="306"/>
      <c r="D410" s="307"/>
      <c r="E410" s="307"/>
      <c r="F410" s="308"/>
      <c r="G410" s="308"/>
    </row>
    <row r="411" spans="2:8" x14ac:dyDescent="0.25">
      <c r="B411" s="323"/>
      <c r="C411" s="324"/>
      <c r="D411" s="325"/>
      <c r="E411" s="325"/>
      <c r="F411" s="326"/>
      <c r="G411" s="326"/>
    </row>
    <row r="412" spans="2:8" ht="15.75" thickBot="1" x14ac:dyDescent="0.3">
      <c r="B412" s="442"/>
      <c r="C412" s="443"/>
      <c r="D412" s="444"/>
      <c r="E412" s="445"/>
      <c r="F412" s="446"/>
      <c r="G412" s="418"/>
    </row>
    <row r="413" spans="2:8" ht="15.75" thickTop="1" x14ac:dyDescent="0.25">
      <c r="D413" s="934" t="s">
        <v>404</v>
      </c>
      <c r="E413" s="934"/>
      <c r="F413" s="335"/>
      <c r="G413" s="336"/>
    </row>
    <row r="414" spans="2:8" x14ac:dyDescent="0.25">
      <c r="D414" s="935" t="s">
        <v>405</v>
      </c>
      <c r="E414" s="935"/>
      <c r="F414" s="337"/>
      <c r="G414" s="338"/>
    </row>
    <row r="415" spans="2:8" ht="15.75" thickBot="1" x14ac:dyDescent="0.3">
      <c r="D415" s="936" t="s">
        <v>406</v>
      </c>
      <c r="E415" s="936"/>
      <c r="F415" s="339"/>
      <c r="G415" s="292">
        <f>SUM(G410:G412)</f>
        <v>0</v>
      </c>
    </row>
    <row r="416" spans="2:8" ht="16.5" thickTop="1" thickBot="1" x14ac:dyDescent="0.3"/>
    <row r="417" spans="2:7" ht="16.5" thickTop="1" thickBot="1" x14ac:dyDescent="0.3">
      <c r="B417" s="290" t="s">
        <v>407</v>
      </c>
      <c r="C417" s="933" t="s">
        <v>408</v>
      </c>
      <c r="D417" s="933"/>
      <c r="E417" s="933"/>
      <c r="F417" s="933"/>
      <c r="G417" s="933"/>
    </row>
    <row r="418" spans="2:7" ht="15.75" thickTop="1" x14ac:dyDescent="0.25">
      <c r="B418" s="291"/>
      <c r="C418" s="290"/>
      <c r="D418" s="290"/>
      <c r="E418" s="290" t="s">
        <v>52</v>
      </c>
      <c r="F418" s="290" t="s">
        <v>388</v>
      </c>
      <c r="G418" s="290" t="s">
        <v>122</v>
      </c>
    </row>
    <row r="419" spans="2:7" x14ac:dyDescent="0.25">
      <c r="B419" s="293"/>
      <c r="C419" s="294" t="s">
        <v>8</v>
      </c>
      <c r="D419" s="294" t="s">
        <v>389</v>
      </c>
      <c r="E419" s="294" t="s">
        <v>409</v>
      </c>
      <c r="F419" s="294" t="s">
        <v>391</v>
      </c>
      <c r="G419" s="294" t="s">
        <v>392</v>
      </c>
    </row>
    <row r="420" spans="2:7" ht="15.75" thickBot="1" x14ac:dyDescent="0.3">
      <c r="B420" s="295"/>
      <c r="C420" s="295"/>
      <c r="D420" s="296" t="s">
        <v>410</v>
      </c>
      <c r="E420" s="296" t="s">
        <v>411</v>
      </c>
      <c r="F420" s="296" t="s">
        <v>412</v>
      </c>
      <c r="G420" s="296" t="s">
        <v>413</v>
      </c>
    </row>
    <row r="421" spans="2:7" ht="15.75" thickTop="1" x14ac:dyDescent="0.25">
      <c r="B421" s="340" t="s">
        <v>296</v>
      </c>
      <c r="C421" s="341" t="s">
        <v>414</v>
      </c>
      <c r="D421" s="342">
        <v>3</v>
      </c>
      <c r="E421" s="326">
        <v>48802</v>
      </c>
      <c r="F421" s="325">
        <v>1</v>
      </c>
      <c r="G421" s="326">
        <f>D421*E421/F421</f>
        <v>146406</v>
      </c>
    </row>
    <row r="422" spans="2:7" ht="15.75" thickBot="1" x14ac:dyDescent="0.3">
      <c r="B422" s="343"/>
      <c r="C422" s="344"/>
      <c r="D422" s="440"/>
      <c r="E422" s="326"/>
      <c r="F422" s="339"/>
      <c r="G422" s="441"/>
    </row>
    <row r="423" spans="2:7" ht="16.5" thickTop="1" thickBot="1" x14ac:dyDescent="0.3">
      <c r="F423" s="314" t="s">
        <v>398</v>
      </c>
      <c r="G423" s="315">
        <f>SUM(G421:G422)</f>
        <v>146406</v>
      </c>
    </row>
    <row r="424" spans="2:7" ht="16.5" thickTop="1" thickBot="1" x14ac:dyDescent="0.3"/>
    <row r="425" spans="2:7" ht="16.5" thickTop="1" thickBot="1" x14ac:dyDescent="0.3">
      <c r="B425" s="290" t="s">
        <v>303</v>
      </c>
      <c r="C425" s="933" t="s">
        <v>416</v>
      </c>
      <c r="D425" s="933"/>
      <c r="E425" s="933"/>
      <c r="F425" s="933"/>
      <c r="G425" s="933"/>
    </row>
    <row r="426" spans="2:7" ht="15.75" thickTop="1" x14ac:dyDescent="0.25">
      <c r="B426" s="291"/>
      <c r="C426" s="290"/>
      <c r="D426" s="290"/>
      <c r="E426" s="290"/>
      <c r="F426" s="290"/>
      <c r="G426" s="290" t="s">
        <v>122</v>
      </c>
    </row>
    <row r="427" spans="2:7" x14ac:dyDescent="0.25">
      <c r="B427" s="293"/>
      <c r="C427" s="294" t="s">
        <v>8</v>
      </c>
      <c r="D427" s="294" t="s">
        <v>389</v>
      </c>
      <c r="E427" s="294" t="s">
        <v>182</v>
      </c>
      <c r="F427" s="294" t="s">
        <v>388</v>
      </c>
      <c r="G427" s="294" t="s">
        <v>392</v>
      </c>
    </row>
    <row r="428" spans="2:7" ht="15.75" thickBot="1" x14ac:dyDescent="0.3">
      <c r="B428" s="295"/>
      <c r="C428" s="295"/>
      <c r="D428" s="296" t="s">
        <v>417</v>
      </c>
      <c r="E428" s="296" t="s">
        <v>418</v>
      </c>
      <c r="F428" s="296" t="s">
        <v>419</v>
      </c>
      <c r="G428" s="296" t="s">
        <v>420</v>
      </c>
    </row>
    <row r="429" spans="2:7" ht="15.75" thickTop="1" x14ac:dyDescent="0.25">
      <c r="B429" s="347"/>
      <c r="C429" s="348"/>
      <c r="D429" s="349"/>
      <c r="E429" s="350"/>
      <c r="F429" s="349"/>
      <c r="G429" s="350"/>
    </row>
    <row r="430" spans="2:7" ht="15.75" thickBot="1" x14ac:dyDescent="0.3">
      <c r="B430" s="331"/>
      <c r="C430" s="351"/>
      <c r="D430" s="299"/>
      <c r="E430" s="299"/>
      <c r="F430" s="299"/>
      <c r="G430" s="292"/>
    </row>
    <row r="431" spans="2:7" ht="16.5" thickTop="1" thickBot="1" x14ac:dyDescent="0.3">
      <c r="F431" s="314" t="s">
        <v>398</v>
      </c>
      <c r="G431" s="315">
        <f>SUM(G429:G430)</f>
        <v>0</v>
      </c>
    </row>
    <row r="432" spans="2:7" ht="16.5" thickTop="1" thickBot="1" x14ac:dyDescent="0.3">
      <c r="G432" s="269"/>
    </row>
    <row r="433" spans="2:7" ht="16.5" thickTop="1" thickBot="1" x14ac:dyDescent="0.3">
      <c r="B433" s="928" t="s">
        <v>422</v>
      </c>
      <c r="C433" s="929"/>
      <c r="D433" s="929"/>
      <c r="E433" s="929"/>
      <c r="F433" s="352"/>
      <c r="G433" s="353">
        <f>G404+G415+G423+G431</f>
        <v>440971.5</v>
      </c>
    </row>
    <row r="434" spans="2:7" ht="16.5" thickTop="1" thickBot="1" x14ac:dyDescent="0.3">
      <c r="B434" s="930" t="s">
        <v>423</v>
      </c>
      <c r="C434" s="931"/>
      <c r="D434" s="931"/>
      <c r="E434" s="931"/>
      <c r="F434" s="354">
        <v>0</v>
      </c>
      <c r="G434" s="355"/>
    </row>
    <row r="435" spans="2:7" ht="16.5" thickTop="1" thickBot="1" x14ac:dyDescent="0.3">
      <c r="B435" s="356" t="s">
        <v>424</v>
      </c>
      <c r="C435" s="357"/>
      <c r="D435" s="357"/>
      <c r="E435" s="357"/>
      <c r="F435" s="358"/>
      <c r="G435" s="359">
        <f>ROUND(G433,0)</f>
        <v>440972</v>
      </c>
    </row>
    <row r="436" spans="2:7" ht="15.75" thickTop="1" x14ac:dyDescent="0.25">
      <c r="G436" s="361"/>
    </row>
    <row r="437" spans="2:7" x14ac:dyDescent="0.25">
      <c r="G437" s="361"/>
    </row>
    <row r="438" spans="2:7" x14ac:dyDescent="0.25">
      <c r="C438" s="362" t="s">
        <v>425</v>
      </c>
      <c r="G438" s="361"/>
    </row>
    <row r="439" spans="2:7" ht="15" customHeight="1" x14ac:dyDescent="0.25">
      <c r="C439" s="932" t="s">
        <v>621</v>
      </c>
      <c r="D439" s="932"/>
      <c r="E439" s="932"/>
      <c r="F439" s="932"/>
      <c r="G439" s="361"/>
    </row>
  </sheetData>
  <mergeCells count="132">
    <mergeCell ref="C11:G11"/>
    <mergeCell ref="C20:G20"/>
    <mergeCell ref="D26:E26"/>
    <mergeCell ref="D27:E27"/>
    <mergeCell ref="D28:E28"/>
    <mergeCell ref="C30:G30"/>
    <mergeCell ref="A3:H3"/>
    <mergeCell ref="A4:H4"/>
    <mergeCell ref="A5:H5"/>
    <mergeCell ref="A6:H6"/>
    <mergeCell ref="B7:F7"/>
    <mergeCell ref="C9:E9"/>
    <mergeCell ref="A59:H59"/>
    <mergeCell ref="A60:H60"/>
    <mergeCell ref="B61:F61"/>
    <mergeCell ref="C62:E62"/>
    <mergeCell ref="C63:E63"/>
    <mergeCell ref="C65:G65"/>
    <mergeCell ref="C38:G38"/>
    <mergeCell ref="B46:E46"/>
    <mergeCell ref="B47:E47"/>
    <mergeCell ref="C52:F52"/>
    <mergeCell ref="A57:H57"/>
    <mergeCell ref="A58:H58"/>
    <mergeCell ref="B104:E104"/>
    <mergeCell ref="B105:E105"/>
    <mergeCell ref="C109:F109"/>
    <mergeCell ref="A113:H113"/>
    <mergeCell ref="A114:H114"/>
    <mergeCell ref="A115:H115"/>
    <mergeCell ref="C76:G76"/>
    <mergeCell ref="D84:E84"/>
    <mergeCell ref="D85:E85"/>
    <mergeCell ref="D86:E86"/>
    <mergeCell ref="C88:G88"/>
    <mergeCell ref="C96:G96"/>
    <mergeCell ref="D140:E140"/>
    <mergeCell ref="D141:E141"/>
    <mergeCell ref="D142:E142"/>
    <mergeCell ref="C144:G144"/>
    <mergeCell ref="C152:G152"/>
    <mergeCell ref="B160:E160"/>
    <mergeCell ref="A116:H116"/>
    <mergeCell ref="B117:F117"/>
    <mergeCell ref="C118:E118"/>
    <mergeCell ref="C119:E119"/>
    <mergeCell ref="C121:G121"/>
    <mergeCell ref="C132:G132"/>
    <mergeCell ref="B171:F171"/>
    <mergeCell ref="C173:E173"/>
    <mergeCell ref="C175:G175"/>
    <mergeCell ref="C183:G183"/>
    <mergeCell ref="D194:E194"/>
    <mergeCell ref="D195:E195"/>
    <mergeCell ref="B161:E161"/>
    <mergeCell ref="C165:F165"/>
    <mergeCell ref="A167:H167"/>
    <mergeCell ref="A168:H168"/>
    <mergeCell ref="A169:H169"/>
    <mergeCell ref="A170:H170"/>
    <mergeCell ref="A222:H222"/>
    <mergeCell ref="A223:H223"/>
    <mergeCell ref="A224:H224"/>
    <mergeCell ref="A225:H225"/>
    <mergeCell ref="B226:F226"/>
    <mergeCell ref="C227:E227"/>
    <mergeCell ref="D196:E196"/>
    <mergeCell ref="C198:G198"/>
    <mergeCell ref="C206:G206"/>
    <mergeCell ref="B214:E214"/>
    <mergeCell ref="B215:E215"/>
    <mergeCell ref="C219:F219"/>
    <mergeCell ref="C253:G253"/>
    <mergeCell ref="C261:G261"/>
    <mergeCell ref="B269:E269"/>
    <mergeCell ref="B270:E270"/>
    <mergeCell ref="C274:F274"/>
    <mergeCell ref="A277:H277"/>
    <mergeCell ref="C228:E228"/>
    <mergeCell ref="C230:G230"/>
    <mergeCell ref="C238:G238"/>
    <mergeCell ref="D249:E249"/>
    <mergeCell ref="D250:E250"/>
    <mergeCell ref="D251:E251"/>
    <mergeCell ref="C294:G294"/>
    <mergeCell ref="D304:E304"/>
    <mergeCell ref="D305:E305"/>
    <mergeCell ref="D306:E306"/>
    <mergeCell ref="C308:G308"/>
    <mergeCell ref="C316:G316"/>
    <mergeCell ref="A278:H278"/>
    <mergeCell ref="A279:H279"/>
    <mergeCell ref="A280:H280"/>
    <mergeCell ref="B281:F281"/>
    <mergeCell ref="C283:E283"/>
    <mergeCell ref="C285:G285"/>
    <mergeCell ref="A337:H337"/>
    <mergeCell ref="B338:F338"/>
    <mergeCell ref="C339:E339"/>
    <mergeCell ref="C340:E340"/>
    <mergeCell ref="C342:G342"/>
    <mergeCell ref="C350:G350"/>
    <mergeCell ref="B324:E324"/>
    <mergeCell ref="B325:E325"/>
    <mergeCell ref="C330:F330"/>
    <mergeCell ref="A334:H334"/>
    <mergeCell ref="A335:H335"/>
    <mergeCell ref="A336:H336"/>
    <mergeCell ref="B380:E380"/>
    <mergeCell ref="C385:F385"/>
    <mergeCell ref="A389:H389"/>
    <mergeCell ref="A390:H390"/>
    <mergeCell ref="A391:H391"/>
    <mergeCell ref="A392:H392"/>
    <mergeCell ref="D359:E359"/>
    <mergeCell ref="D360:E360"/>
    <mergeCell ref="D361:E361"/>
    <mergeCell ref="C363:G363"/>
    <mergeCell ref="C371:G371"/>
    <mergeCell ref="B379:E379"/>
    <mergeCell ref="D415:E415"/>
    <mergeCell ref="C417:G417"/>
    <mergeCell ref="C425:G425"/>
    <mergeCell ref="B433:E433"/>
    <mergeCell ref="B434:E434"/>
    <mergeCell ref="C439:F439"/>
    <mergeCell ref="B393:F393"/>
    <mergeCell ref="C395:E395"/>
    <mergeCell ref="C397:G397"/>
    <mergeCell ref="C406:G406"/>
    <mergeCell ref="D413:E413"/>
    <mergeCell ref="D414:E414"/>
  </mergeCells>
  <pageMargins left="0.7" right="0.7" top="0.75" bottom="0.75" header="0.3" footer="0.3"/>
  <pageSetup scale="8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155"/>
  <sheetViews>
    <sheetView topLeftCell="A163" workbookViewId="0">
      <selection activeCell="C155" sqref="C155:F155"/>
    </sheetView>
  </sheetViews>
  <sheetFormatPr baseColWidth="10" defaultRowHeight="15" x14ac:dyDescent="0.25"/>
  <cols>
    <col min="1" max="1" width="11.42578125" style="5"/>
    <col min="2" max="2" width="6.5703125" style="5" customWidth="1"/>
    <col min="3" max="3" width="27" style="5" customWidth="1"/>
    <col min="4" max="6" width="11.42578125" style="5"/>
    <col min="7" max="7" width="12" style="5" customWidth="1"/>
    <col min="8" max="8" width="11.42578125" style="5"/>
    <col min="9" max="9" width="18.7109375" style="5" customWidth="1"/>
    <col min="10" max="10" width="19" style="5" customWidth="1"/>
    <col min="11" max="16384" width="11.42578125" style="5"/>
  </cols>
  <sheetData>
    <row r="1" spans="1:8" ht="15.75" thickTop="1" x14ac:dyDescent="0.25">
      <c r="A1" s="940" t="s">
        <v>378</v>
      </c>
      <c r="B1" s="941"/>
      <c r="C1" s="941"/>
      <c r="D1" s="941"/>
      <c r="E1" s="941"/>
      <c r="F1" s="941"/>
      <c r="G1" s="941"/>
      <c r="H1" s="942"/>
    </row>
    <row r="2" spans="1:8" x14ac:dyDescent="0.25">
      <c r="A2" s="943" t="s">
        <v>379</v>
      </c>
      <c r="B2" s="944"/>
      <c r="C2" s="944"/>
      <c r="D2" s="944"/>
      <c r="E2" s="944"/>
      <c r="F2" s="944"/>
      <c r="G2" s="944"/>
      <c r="H2" s="945"/>
    </row>
    <row r="3" spans="1:8" ht="15.75" thickBot="1" x14ac:dyDescent="0.3">
      <c r="A3" s="946" t="s">
        <v>261</v>
      </c>
      <c r="B3" s="947"/>
      <c r="C3" s="947"/>
      <c r="D3" s="947"/>
      <c r="E3" s="947"/>
      <c r="F3" s="947"/>
      <c r="G3" s="947"/>
      <c r="H3" s="948"/>
    </row>
    <row r="4" spans="1:8" ht="16.5" thickTop="1" thickBot="1" x14ac:dyDescent="0.3">
      <c r="A4" s="949" t="s">
        <v>30</v>
      </c>
      <c r="B4" s="950"/>
      <c r="C4" s="950"/>
      <c r="D4" s="950"/>
      <c r="E4" s="950"/>
      <c r="F4" s="950"/>
      <c r="G4" s="950"/>
      <c r="H4" s="951"/>
    </row>
    <row r="5" spans="1:8" ht="15.75" thickTop="1" x14ac:dyDescent="0.25">
      <c r="A5" s="277" t="s">
        <v>380</v>
      </c>
      <c r="B5" s="952" t="str">
        <f>'[5]Apu''s obra civil (2)'!B423:F423</f>
        <v xml:space="preserve">REPOSICION DE SEMAFORIZACION INTERSECCIONES VIALES    </v>
      </c>
      <c r="C5" s="952"/>
      <c r="D5" s="952"/>
      <c r="E5" s="952"/>
      <c r="F5" s="952"/>
      <c r="G5" s="278"/>
      <c r="H5" s="279"/>
    </row>
    <row r="6" spans="1:8" x14ac:dyDescent="0.25">
      <c r="A6" s="280" t="s">
        <v>382</v>
      </c>
      <c r="B6" s="281" t="s">
        <v>353</v>
      </c>
      <c r="C6" s="281" t="s">
        <v>337</v>
      </c>
      <c r="D6" s="281">
        <v>1</v>
      </c>
      <c r="E6" s="282"/>
      <c r="F6" s="283" t="s">
        <v>383</v>
      </c>
      <c r="G6" s="284" t="s">
        <v>340</v>
      </c>
      <c r="H6" s="285"/>
    </row>
    <row r="7" spans="1:8" ht="24" customHeight="1" thickBot="1" x14ac:dyDescent="0.3">
      <c r="A7" s="286" t="s">
        <v>384</v>
      </c>
      <c r="B7" s="287" t="s">
        <v>338</v>
      </c>
      <c r="C7" s="965" t="s">
        <v>514</v>
      </c>
      <c r="D7" s="965"/>
      <c r="E7" s="965"/>
      <c r="F7" s="288" t="s">
        <v>385</v>
      </c>
      <c r="G7" s="287" t="s">
        <v>620</v>
      </c>
      <c r="H7" s="289"/>
    </row>
    <row r="8" spans="1:8" ht="16.5" thickTop="1" thickBot="1" x14ac:dyDescent="0.3">
      <c r="D8" s="5">
        <v>1</v>
      </c>
    </row>
    <row r="9" spans="1:8" ht="16.5" thickTop="1" thickBot="1" x14ac:dyDescent="0.3">
      <c r="B9" s="290" t="s">
        <v>183</v>
      </c>
      <c r="C9" s="937" t="s">
        <v>386</v>
      </c>
      <c r="D9" s="938"/>
      <c r="E9" s="938"/>
      <c r="F9" s="938"/>
      <c r="G9" s="939"/>
    </row>
    <row r="10" spans="1:8" ht="15.75" thickTop="1" x14ac:dyDescent="0.25">
      <c r="B10" s="291"/>
      <c r="C10" s="290"/>
      <c r="D10" s="290">
        <v>1</v>
      </c>
      <c r="E10" s="290" t="s">
        <v>387</v>
      </c>
      <c r="F10" s="290" t="s">
        <v>388</v>
      </c>
      <c r="G10" s="290" t="s">
        <v>122</v>
      </c>
    </row>
    <row r="11" spans="1:8" x14ac:dyDescent="0.25">
      <c r="B11" s="293"/>
      <c r="C11" s="294" t="s">
        <v>8</v>
      </c>
      <c r="D11" s="294">
        <v>1</v>
      </c>
      <c r="E11" s="294" t="s">
        <v>390</v>
      </c>
      <c r="F11" s="294" t="s">
        <v>391</v>
      </c>
      <c r="G11" s="294" t="s">
        <v>392</v>
      </c>
    </row>
    <row r="12" spans="1:8" ht="15.75" thickBot="1" x14ac:dyDescent="0.3">
      <c r="B12" s="295"/>
      <c r="C12" s="295"/>
      <c r="D12" s="296">
        <v>1</v>
      </c>
      <c r="E12" s="296" t="s">
        <v>394</v>
      </c>
      <c r="F12" s="296" t="s">
        <v>395</v>
      </c>
      <c r="G12" s="296" t="s">
        <v>396</v>
      </c>
    </row>
    <row r="13" spans="1:8" ht="15.75" thickTop="1" x14ac:dyDescent="0.25">
      <c r="B13" s="302" t="s">
        <v>185</v>
      </c>
      <c r="C13" s="447" t="s">
        <v>162</v>
      </c>
      <c r="D13" s="349">
        <v>1</v>
      </c>
      <c r="E13" s="391">
        <v>32100</v>
      </c>
      <c r="F13" s="349">
        <v>8</v>
      </c>
      <c r="G13" s="350">
        <f>D13*E13/F13</f>
        <v>4012.5</v>
      </c>
    </row>
    <row r="14" spans="1:8" ht="15.75" thickBot="1" x14ac:dyDescent="0.3">
      <c r="B14" s="297" t="s">
        <v>280</v>
      </c>
      <c r="C14" s="298" t="s">
        <v>515</v>
      </c>
      <c r="D14" s="299">
        <v>2</v>
      </c>
      <c r="E14" s="390">
        <v>27820</v>
      </c>
      <c r="F14" s="300">
        <v>8</v>
      </c>
      <c r="G14" s="301">
        <f>D14*E14/F14</f>
        <v>6955</v>
      </c>
    </row>
    <row r="15" spans="1:8" ht="16.5" thickTop="1" thickBot="1" x14ac:dyDescent="0.3">
      <c r="B15" s="305"/>
      <c r="C15" s="298" t="s">
        <v>262</v>
      </c>
      <c r="D15" s="299">
        <v>3</v>
      </c>
      <c r="E15" s="301">
        <v>4280</v>
      </c>
      <c r="F15" s="300">
        <v>8</v>
      </c>
      <c r="G15" s="301">
        <f>D15*E15/F15</f>
        <v>1605</v>
      </c>
    </row>
    <row r="16" spans="1:8" ht="16.5" thickTop="1" thickBot="1" x14ac:dyDescent="0.3">
      <c r="B16" s="305"/>
      <c r="C16" s="298"/>
      <c r="D16" s="299">
        <v>4</v>
      </c>
      <c r="E16" s="292"/>
      <c r="F16" s="300"/>
      <c r="G16" s="301"/>
    </row>
    <row r="17" spans="2:7" ht="16.5" thickTop="1" thickBot="1" x14ac:dyDescent="0.3">
      <c r="F17" s="314" t="s">
        <v>398</v>
      </c>
      <c r="G17" s="315">
        <f>SUM(G13:G16)</f>
        <v>12572.5</v>
      </c>
    </row>
    <row r="18" spans="2:7" ht="16.5" thickTop="1" thickBot="1" x14ac:dyDescent="0.3">
      <c r="D18" s="5">
        <v>2</v>
      </c>
    </row>
    <row r="19" spans="2:7" ht="16.5" thickTop="1" thickBot="1" x14ac:dyDescent="0.3">
      <c r="B19" s="317" t="s">
        <v>192</v>
      </c>
      <c r="C19" s="933" t="s">
        <v>399</v>
      </c>
      <c r="D19" s="933"/>
      <c r="E19" s="933"/>
      <c r="F19" s="933"/>
      <c r="G19" s="933"/>
    </row>
    <row r="20" spans="2:7" ht="15.75" thickTop="1" x14ac:dyDescent="0.25">
      <c r="B20" s="318"/>
      <c r="C20" s="290"/>
      <c r="D20" s="290">
        <v>105</v>
      </c>
      <c r="E20" s="290"/>
      <c r="F20" s="290" t="s">
        <v>122</v>
      </c>
      <c r="G20" s="290" t="s">
        <v>122</v>
      </c>
    </row>
    <row r="21" spans="2:7" x14ac:dyDescent="0.25">
      <c r="B21" s="319"/>
      <c r="C21" s="294" t="s">
        <v>8</v>
      </c>
      <c r="D21" s="294">
        <v>125</v>
      </c>
      <c r="E21" s="294" t="s">
        <v>0</v>
      </c>
      <c r="F21" s="294" t="s">
        <v>400</v>
      </c>
      <c r="G21" s="294" t="s">
        <v>392</v>
      </c>
    </row>
    <row r="22" spans="2:7" ht="15.75" thickBot="1" x14ac:dyDescent="0.3">
      <c r="B22" s="320"/>
      <c r="C22" s="295"/>
      <c r="D22" s="321">
        <v>65</v>
      </c>
      <c r="E22" s="296" t="s">
        <v>401</v>
      </c>
      <c r="F22" s="296" t="s">
        <v>402</v>
      </c>
      <c r="G22" s="296" t="s">
        <v>403</v>
      </c>
    </row>
    <row r="23" spans="2:7" ht="15.75" thickTop="1" x14ac:dyDescent="0.25">
      <c r="B23" s="322" t="s">
        <v>289</v>
      </c>
      <c r="C23" s="448" t="s">
        <v>516</v>
      </c>
      <c r="D23" s="307">
        <v>1</v>
      </c>
      <c r="E23" s="307">
        <v>0.16700000000000001</v>
      </c>
      <c r="F23" s="308">
        <v>91477.419049999997</v>
      </c>
      <c r="G23" s="401">
        <f>E23*F23</f>
        <v>15276.728981350001</v>
      </c>
    </row>
    <row r="24" spans="2:7" x14ac:dyDescent="0.25">
      <c r="B24" s="323"/>
      <c r="C24" s="324" t="s">
        <v>518</v>
      </c>
      <c r="D24" s="325">
        <v>1</v>
      </c>
      <c r="E24" s="325">
        <v>8.0000000000000002E-3</v>
      </c>
      <c r="F24" s="326">
        <v>53605.657150000006</v>
      </c>
      <c r="G24" s="404">
        <f>E24*F24</f>
        <v>428.84525720000005</v>
      </c>
    </row>
    <row r="25" spans="2:7" x14ac:dyDescent="0.25">
      <c r="B25" s="327"/>
      <c r="C25" s="328" t="s">
        <v>164</v>
      </c>
      <c r="D25" s="325" t="s">
        <v>517</v>
      </c>
      <c r="E25" s="329">
        <v>0.16700000000000001</v>
      </c>
      <c r="F25" s="330">
        <v>60503.176001</v>
      </c>
      <c r="G25" s="404">
        <f>E25*F25</f>
        <v>10104.030392167</v>
      </c>
    </row>
    <row r="26" spans="2:7" ht="15.75" thickBot="1" x14ac:dyDescent="0.3">
      <c r="B26" s="331"/>
      <c r="C26" s="332"/>
      <c r="D26" s="299">
        <v>30</v>
      </c>
      <c r="E26" s="333"/>
      <c r="F26" s="334"/>
      <c r="G26" s="292"/>
    </row>
    <row r="27" spans="2:7" ht="15.75" thickTop="1" x14ac:dyDescent="0.25">
      <c r="D27" s="934">
        <v>20</v>
      </c>
      <c r="E27" s="934"/>
      <c r="F27" s="335"/>
      <c r="G27" s="336"/>
    </row>
    <row r="28" spans="2:7" x14ac:dyDescent="0.25">
      <c r="D28" s="935">
        <v>10</v>
      </c>
      <c r="E28" s="935"/>
      <c r="F28" s="337"/>
      <c r="G28" s="338"/>
    </row>
    <row r="29" spans="2:7" ht="15.75" thickBot="1" x14ac:dyDescent="0.3">
      <c r="D29" s="936">
        <v>5</v>
      </c>
      <c r="E29" s="936"/>
      <c r="F29" s="339"/>
      <c r="G29" s="390">
        <f>SUM(G23:G26)</f>
        <v>25809.604630717004</v>
      </c>
    </row>
    <row r="30" spans="2:7" ht="16.5" thickTop="1" thickBot="1" x14ac:dyDescent="0.3">
      <c r="D30" s="5">
        <v>4</v>
      </c>
    </row>
    <row r="31" spans="2:7" ht="16.5" thickTop="1" thickBot="1" x14ac:dyDescent="0.3">
      <c r="B31" s="290" t="s">
        <v>407</v>
      </c>
      <c r="C31" s="933" t="s">
        <v>408</v>
      </c>
      <c r="D31" s="933"/>
      <c r="E31" s="933"/>
      <c r="F31" s="933"/>
      <c r="G31" s="933"/>
    </row>
    <row r="32" spans="2:7" ht="15.75" thickTop="1" x14ac:dyDescent="0.25">
      <c r="B32" s="291"/>
      <c r="C32" s="290"/>
      <c r="D32" s="290">
        <v>2</v>
      </c>
      <c r="E32" s="290" t="s">
        <v>52</v>
      </c>
      <c r="F32" s="290" t="s">
        <v>388</v>
      </c>
      <c r="G32" s="290" t="s">
        <v>122</v>
      </c>
    </row>
    <row r="33" spans="2:7" x14ac:dyDescent="0.25">
      <c r="B33" s="293"/>
      <c r="C33" s="294" t="s">
        <v>8</v>
      </c>
      <c r="D33" s="294">
        <v>1</v>
      </c>
      <c r="E33" s="294" t="s">
        <v>409</v>
      </c>
      <c r="F33" s="294" t="s">
        <v>391</v>
      </c>
      <c r="G33" s="294" t="s">
        <v>392</v>
      </c>
    </row>
    <row r="34" spans="2:7" ht="15.75" thickBot="1" x14ac:dyDescent="0.3">
      <c r="B34" s="295"/>
      <c r="C34" s="295"/>
      <c r="D34" s="296" t="s">
        <v>410</v>
      </c>
      <c r="E34" s="296" t="s">
        <v>411</v>
      </c>
      <c r="F34" s="296" t="s">
        <v>412</v>
      </c>
      <c r="G34" s="296" t="s">
        <v>413</v>
      </c>
    </row>
    <row r="35" spans="2:7" ht="15.75" thickTop="1" x14ac:dyDescent="0.25">
      <c r="B35" s="340" t="s">
        <v>296</v>
      </c>
      <c r="C35" s="341" t="s">
        <v>158</v>
      </c>
      <c r="D35" s="342">
        <v>97</v>
      </c>
      <c r="E35" s="326">
        <v>104042.6936</v>
      </c>
      <c r="F35" s="325">
        <v>50</v>
      </c>
      <c r="G35" s="404">
        <f>D35*E35/F35</f>
        <v>201842.82558400001</v>
      </c>
    </row>
    <row r="36" spans="2:7" ht="15.75" thickBot="1" x14ac:dyDescent="0.3">
      <c r="B36" s="343" t="s">
        <v>298</v>
      </c>
      <c r="C36" s="344" t="s">
        <v>163</v>
      </c>
      <c r="D36" s="342">
        <v>2</v>
      </c>
      <c r="E36" s="301">
        <v>61183.706999999995</v>
      </c>
      <c r="F36" s="325">
        <v>50</v>
      </c>
      <c r="G36" s="404">
        <f>D36*E36/F36</f>
        <v>2447.3482799999997</v>
      </c>
    </row>
    <row r="37" spans="2:7" ht="16.5" thickTop="1" thickBot="1" x14ac:dyDescent="0.3">
      <c r="B37" s="343" t="s">
        <v>300</v>
      </c>
      <c r="C37" s="344" t="s">
        <v>159</v>
      </c>
      <c r="D37" s="342">
        <v>50</v>
      </c>
      <c r="E37" s="301">
        <v>63731.6898</v>
      </c>
      <c r="F37" s="325">
        <v>50</v>
      </c>
      <c r="G37" s="404">
        <f>D37*E37/F37</f>
        <v>63731.689800000007</v>
      </c>
    </row>
    <row r="38" spans="2:7" ht="16.5" thickTop="1" thickBot="1" x14ac:dyDescent="0.3">
      <c r="B38" s="343" t="s">
        <v>519</v>
      </c>
      <c r="C38" s="344" t="s">
        <v>160</v>
      </c>
      <c r="D38" s="342">
        <v>1</v>
      </c>
      <c r="E38" s="301">
        <v>56093.018700000001</v>
      </c>
      <c r="F38" s="325">
        <v>50</v>
      </c>
      <c r="G38" s="404">
        <f>D38*E38/F38</f>
        <v>1121.8603740000001</v>
      </c>
    </row>
    <row r="39" spans="2:7" ht="16.5" thickTop="1" thickBot="1" x14ac:dyDescent="0.3">
      <c r="B39" s="343" t="s">
        <v>520</v>
      </c>
      <c r="C39" s="344" t="s">
        <v>161</v>
      </c>
      <c r="D39" s="342">
        <v>1</v>
      </c>
      <c r="E39" s="301">
        <v>45914.599500000004</v>
      </c>
      <c r="F39" s="325">
        <v>50</v>
      </c>
      <c r="G39" s="404">
        <f>D39*E39/F39</f>
        <v>918.29199000000006</v>
      </c>
    </row>
    <row r="40" spans="2:7" ht="16.5" thickTop="1" thickBot="1" x14ac:dyDescent="0.3">
      <c r="F40" s="314" t="s">
        <v>398</v>
      </c>
      <c r="G40" s="449">
        <f>SUM(G35:G39)</f>
        <v>270062.01602799998</v>
      </c>
    </row>
    <row r="41" spans="2:7" ht="15.75" thickTop="1" x14ac:dyDescent="0.25"/>
    <row r="42" spans="2:7" ht="15.75" thickBot="1" x14ac:dyDescent="0.3">
      <c r="G42" s="269"/>
    </row>
    <row r="43" spans="2:7" ht="16.5" thickTop="1" thickBot="1" x14ac:dyDescent="0.3">
      <c r="B43" s="928" t="s">
        <v>422</v>
      </c>
      <c r="C43" s="929"/>
      <c r="D43" s="929"/>
      <c r="E43" s="929"/>
      <c r="F43" s="352"/>
      <c r="G43" s="450">
        <f>G17+G29+G40</f>
        <v>308444.120658717</v>
      </c>
    </row>
    <row r="44" spans="2:7" ht="16.5" thickTop="1" thickBot="1" x14ac:dyDescent="0.3">
      <c r="B44" s="930" t="s">
        <v>423</v>
      </c>
      <c r="C44" s="931"/>
      <c r="D44" s="931"/>
      <c r="E44" s="931"/>
      <c r="F44" s="354">
        <v>0</v>
      </c>
      <c r="G44" s="355"/>
    </row>
    <row r="45" spans="2:7" ht="16.5" thickTop="1" thickBot="1" x14ac:dyDescent="0.3">
      <c r="B45" s="356" t="s">
        <v>424</v>
      </c>
      <c r="C45" s="357"/>
      <c r="D45" s="357"/>
      <c r="E45" s="357"/>
      <c r="F45" s="358"/>
      <c r="G45" s="359">
        <f>ROUND(G43,0)</f>
        <v>308444</v>
      </c>
    </row>
    <row r="46" spans="2:7" ht="15.75" thickTop="1" x14ac:dyDescent="0.25">
      <c r="G46" s="361"/>
    </row>
    <row r="47" spans="2:7" x14ac:dyDescent="0.25">
      <c r="G47" s="361"/>
    </row>
    <row r="48" spans="2:7" x14ac:dyDescent="0.25">
      <c r="C48" s="362" t="s">
        <v>425</v>
      </c>
      <c r="G48" s="361"/>
    </row>
    <row r="49" spans="1:10" ht="15" customHeight="1" x14ac:dyDescent="0.25">
      <c r="C49" s="932" t="s">
        <v>621</v>
      </c>
      <c r="D49" s="932"/>
      <c r="E49" s="932"/>
      <c r="F49" s="932"/>
      <c r="G49" s="361"/>
    </row>
    <row r="50" spans="1:10" x14ac:dyDescent="0.25">
      <c r="C50" s="675"/>
      <c r="D50" s="675"/>
      <c r="E50" s="675"/>
      <c r="F50" s="675"/>
      <c r="G50" s="361"/>
    </row>
    <row r="51" spans="1:10" ht="15.75" thickBot="1" x14ac:dyDescent="0.3"/>
    <row r="52" spans="1:10" ht="15.75" thickTop="1" x14ac:dyDescent="0.25">
      <c r="A52" s="940" t="s">
        <v>378</v>
      </c>
      <c r="B52" s="941"/>
      <c r="C52" s="941"/>
      <c r="D52" s="941"/>
      <c r="E52" s="941"/>
      <c r="F52" s="941"/>
      <c r="G52" s="941"/>
      <c r="H52" s="942"/>
    </row>
    <row r="53" spans="1:10" x14ac:dyDescent="0.25">
      <c r="A53" s="943" t="s">
        <v>379</v>
      </c>
      <c r="B53" s="944"/>
      <c r="C53" s="944"/>
      <c r="D53" s="944"/>
      <c r="E53" s="944"/>
      <c r="F53" s="944"/>
      <c r="G53" s="944"/>
      <c r="H53" s="945"/>
    </row>
    <row r="54" spans="1:10" ht="15.75" thickBot="1" x14ac:dyDescent="0.3">
      <c r="A54" s="946" t="s">
        <v>261</v>
      </c>
      <c r="B54" s="947"/>
      <c r="C54" s="947"/>
      <c r="D54" s="947"/>
      <c r="E54" s="947"/>
      <c r="F54" s="947"/>
      <c r="G54" s="947"/>
      <c r="H54" s="948"/>
    </row>
    <row r="55" spans="1:10" ht="16.5" thickTop="1" thickBot="1" x14ac:dyDescent="0.3">
      <c r="A55" s="949" t="s">
        <v>30</v>
      </c>
      <c r="B55" s="950"/>
      <c r="C55" s="950"/>
      <c r="D55" s="950"/>
      <c r="E55" s="950"/>
      <c r="F55" s="950"/>
      <c r="G55" s="950"/>
      <c r="H55" s="951"/>
    </row>
    <row r="56" spans="1:10" ht="15.75" thickTop="1" x14ac:dyDescent="0.25">
      <c r="A56" s="277" t="s">
        <v>380</v>
      </c>
      <c r="B56" s="952" t="str">
        <f>B5</f>
        <v xml:space="preserve">REPOSICION DE SEMAFORIZACION INTERSECCIONES VIALES    </v>
      </c>
      <c r="C56" s="952"/>
      <c r="D56" s="952"/>
      <c r="E56" s="952"/>
      <c r="F56" s="952"/>
      <c r="G56" s="278"/>
      <c r="H56" s="279"/>
    </row>
    <row r="57" spans="1:10" x14ac:dyDescent="0.25">
      <c r="A57" s="280" t="s">
        <v>382</v>
      </c>
      <c r="B57" s="281" t="s">
        <v>353</v>
      </c>
      <c r="C57" s="954" t="s">
        <v>337</v>
      </c>
      <c r="D57" s="954"/>
      <c r="E57" s="954"/>
      <c r="F57" s="283" t="s">
        <v>383</v>
      </c>
      <c r="G57" s="284" t="s">
        <v>169</v>
      </c>
      <c r="H57" s="285"/>
    </row>
    <row r="58" spans="1:10" ht="15.75" thickBot="1" x14ac:dyDescent="0.3">
      <c r="A58" s="286" t="s">
        <v>384</v>
      </c>
      <c r="B58" s="287" t="s">
        <v>341</v>
      </c>
      <c r="C58" s="953" t="s">
        <v>342</v>
      </c>
      <c r="D58" s="953"/>
      <c r="E58" s="953"/>
      <c r="F58" s="288" t="s">
        <v>385</v>
      </c>
      <c r="G58" s="287" t="s">
        <v>620</v>
      </c>
      <c r="H58" s="289"/>
    </row>
    <row r="59" spans="1:10" ht="16.5" thickTop="1" thickBot="1" x14ac:dyDescent="0.3">
      <c r="B59" s="290" t="s">
        <v>183</v>
      </c>
      <c r="C59" s="937" t="s">
        <v>521</v>
      </c>
      <c r="D59" s="938"/>
      <c r="E59" s="938"/>
      <c r="F59" s="938"/>
      <c r="G59" s="939"/>
    </row>
    <row r="60" spans="1:10" ht="13.5" customHeight="1" thickTop="1" x14ac:dyDescent="0.25">
      <c r="B60" s="291"/>
      <c r="C60" s="290"/>
      <c r="D60" s="290"/>
      <c r="E60" s="290" t="s">
        <v>387</v>
      </c>
      <c r="F60" s="290" t="s">
        <v>388</v>
      </c>
      <c r="G60" s="290" t="s">
        <v>122</v>
      </c>
    </row>
    <row r="61" spans="1:10" ht="13.5" customHeight="1" x14ac:dyDescent="0.25">
      <c r="B61" s="293"/>
      <c r="C61" s="294" t="s">
        <v>8</v>
      </c>
      <c r="D61" s="294" t="s">
        <v>389</v>
      </c>
      <c r="E61" s="294" t="s">
        <v>390</v>
      </c>
      <c r="F61" s="294" t="s">
        <v>391</v>
      </c>
      <c r="G61" s="294" t="s">
        <v>392</v>
      </c>
    </row>
    <row r="62" spans="1:10" ht="13.5" customHeight="1" thickBot="1" x14ac:dyDescent="0.3">
      <c r="B62" s="295"/>
      <c r="C62" s="295"/>
      <c r="D62" s="296" t="s">
        <v>393</v>
      </c>
      <c r="E62" s="296" t="s">
        <v>394</v>
      </c>
      <c r="F62" s="296" t="s">
        <v>395</v>
      </c>
      <c r="G62" s="296" t="s">
        <v>396</v>
      </c>
    </row>
    <row r="63" spans="1:10" ht="16.5" thickTop="1" thickBot="1" x14ac:dyDescent="0.3">
      <c r="B63" s="297" t="s">
        <v>185</v>
      </c>
      <c r="C63" s="298" t="s">
        <v>31</v>
      </c>
      <c r="D63" s="299">
        <v>1</v>
      </c>
      <c r="E63" s="292">
        <v>9630</v>
      </c>
      <c r="F63" s="300">
        <v>5</v>
      </c>
      <c r="G63" s="389">
        <f>D63*E63/F63</f>
        <v>1926</v>
      </c>
      <c r="I63" s="451"/>
      <c r="J63" s="451"/>
    </row>
    <row r="64" spans="1:10" ht="15.75" thickTop="1" x14ac:dyDescent="0.25">
      <c r="B64" s="305"/>
      <c r="C64" s="310" t="s">
        <v>32</v>
      </c>
      <c r="D64" s="300">
        <v>1</v>
      </c>
      <c r="E64" s="301">
        <v>6420</v>
      </c>
      <c r="F64" s="300">
        <v>5</v>
      </c>
      <c r="G64" s="389">
        <f t="shared" ref="G64:G69" si="0">D64*E64/F64</f>
        <v>1284</v>
      </c>
      <c r="I64" s="451"/>
      <c r="J64" s="451"/>
    </row>
    <row r="65" spans="2:10" x14ac:dyDescent="0.25">
      <c r="B65" s="305"/>
      <c r="C65" s="324" t="s">
        <v>33</v>
      </c>
      <c r="D65" s="325">
        <v>1</v>
      </c>
      <c r="E65" s="363">
        <v>6420</v>
      </c>
      <c r="F65" s="325">
        <v>6</v>
      </c>
      <c r="G65" s="389">
        <f t="shared" si="0"/>
        <v>1070</v>
      </c>
      <c r="I65" s="451"/>
      <c r="J65" s="451"/>
    </row>
    <row r="66" spans="2:10" x14ac:dyDescent="0.25">
      <c r="B66" s="305"/>
      <c r="C66" s="310" t="s">
        <v>34</v>
      </c>
      <c r="D66" s="300">
        <v>1</v>
      </c>
      <c r="E66" s="301">
        <v>16050.000000000002</v>
      </c>
      <c r="F66" s="300">
        <v>6</v>
      </c>
      <c r="G66" s="389">
        <f t="shared" si="0"/>
        <v>2675.0000000000005</v>
      </c>
      <c r="I66" s="451"/>
      <c r="J66" s="451"/>
    </row>
    <row r="67" spans="2:10" x14ac:dyDescent="0.25">
      <c r="B67" s="305"/>
      <c r="C67" s="310" t="s">
        <v>35</v>
      </c>
      <c r="D67" s="300">
        <v>1</v>
      </c>
      <c r="E67" s="301">
        <v>9630</v>
      </c>
      <c r="F67" s="300">
        <v>6</v>
      </c>
      <c r="G67" s="389">
        <f t="shared" si="0"/>
        <v>1605</v>
      </c>
      <c r="I67" s="451"/>
      <c r="J67" s="451"/>
    </row>
    <row r="68" spans="2:10" x14ac:dyDescent="0.25">
      <c r="B68" s="305"/>
      <c r="C68" s="310" t="s">
        <v>262</v>
      </c>
      <c r="D68" s="300">
        <v>1</v>
      </c>
      <c r="E68" s="301">
        <v>4280</v>
      </c>
      <c r="F68" s="300">
        <v>3</v>
      </c>
      <c r="G68" s="389">
        <f t="shared" si="0"/>
        <v>1426.6666666666667</v>
      </c>
      <c r="I68" s="451"/>
      <c r="J68" s="451"/>
    </row>
    <row r="69" spans="2:10" ht="15.75" thickBot="1" x14ac:dyDescent="0.3">
      <c r="B69" s="297"/>
      <c r="C69" s="298" t="s">
        <v>36</v>
      </c>
      <c r="D69" s="299">
        <v>1</v>
      </c>
      <c r="E69" s="292">
        <v>32100.000000000004</v>
      </c>
      <c r="F69" s="300">
        <v>3</v>
      </c>
      <c r="G69" s="389">
        <f t="shared" si="0"/>
        <v>10700.000000000002</v>
      </c>
      <c r="I69" s="451"/>
      <c r="J69" s="451"/>
    </row>
    <row r="70" spans="2:10" ht="16.5" thickTop="1" thickBot="1" x14ac:dyDescent="0.3">
      <c r="F70" s="452" t="s">
        <v>398</v>
      </c>
      <c r="G70" s="449">
        <f>SUM(G63:G69)</f>
        <v>20686.666666666668</v>
      </c>
      <c r="I70" s="258"/>
      <c r="J70" s="258"/>
    </row>
    <row r="71" spans="2:10" ht="16.5" thickTop="1" thickBot="1" x14ac:dyDescent="0.3">
      <c r="B71" s="317" t="s">
        <v>192</v>
      </c>
      <c r="C71" s="937" t="s">
        <v>522</v>
      </c>
      <c r="D71" s="938"/>
      <c r="E71" s="938"/>
      <c r="F71" s="938"/>
      <c r="G71" s="939"/>
      <c r="I71" s="258"/>
      <c r="J71" s="258"/>
    </row>
    <row r="72" spans="2:10" ht="11.25" customHeight="1" thickTop="1" x14ac:dyDescent="0.25">
      <c r="B72" s="318"/>
      <c r="C72" s="290"/>
      <c r="D72" s="290"/>
      <c r="E72" s="290"/>
      <c r="F72" s="290" t="s">
        <v>122</v>
      </c>
      <c r="G72" s="290" t="s">
        <v>122</v>
      </c>
      <c r="I72" s="258"/>
      <c r="J72" s="258"/>
    </row>
    <row r="73" spans="2:10" ht="11.25" customHeight="1" x14ac:dyDescent="0.25">
      <c r="B73" s="319"/>
      <c r="C73" s="294" t="s">
        <v>8</v>
      </c>
      <c r="D73" s="294" t="s">
        <v>169</v>
      </c>
      <c r="E73" s="294" t="s">
        <v>0</v>
      </c>
      <c r="F73" s="294" t="s">
        <v>400</v>
      </c>
      <c r="G73" s="294" t="s">
        <v>392</v>
      </c>
      <c r="I73" s="258"/>
      <c r="J73" s="258"/>
    </row>
    <row r="74" spans="2:10" ht="11.25" customHeight="1" thickBot="1" x14ac:dyDescent="0.3">
      <c r="B74" s="320"/>
      <c r="C74" s="295"/>
      <c r="D74" s="321"/>
      <c r="E74" s="296" t="s">
        <v>401</v>
      </c>
      <c r="F74" s="296" t="s">
        <v>402</v>
      </c>
      <c r="G74" s="296" t="s">
        <v>403</v>
      </c>
      <c r="I74" s="258"/>
      <c r="J74" s="258"/>
    </row>
    <row r="75" spans="2:10" ht="15.75" thickTop="1" x14ac:dyDescent="0.25">
      <c r="B75" s="400" t="s">
        <v>289</v>
      </c>
      <c r="C75" s="448" t="s">
        <v>17</v>
      </c>
      <c r="D75" s="307">
        <v>1</v>
      </c>
      <c r="E75" s="307">
        <v>0.125</v>
      </c>
      <c r="F75" s="401">
        <v>151376.63430000001</v>
      </c>
      <c r="G75" s="401">
        <f>E75*F75</f>
        <v>18922.079287500001</v>
      </c>
      <c r="I75" s="451"/>
      <c r="J75" s="451"/>
    </row>
    <row r="76" spans="2:10" x14ac:dyDescent="0.25">
      <c r="B76" s="323" t="s">
        <v>291</v>
      </c>
      <c r="C76" s="324" t="s">
        <v>28</v>
      </c>
      <c r="D76" s="325">
        <v>1</v>
      </c>
      <c r="E76" s="364">
        <v>1</v>
      </c>
      <c r="F76" s="404">
        <v>61798.324010000004</v>
      </c>
      <c r="G76" s="404">
        <f t="shared" ref="G76:G87" si="1">E76*F76</f>
        <v>61798.324010000004</v>
      </c>
      <c r="I76" s="451"/>
      <c r="J76" s="451"/>
    </row>
    <row r="77" spans="2:10" x14ac:dyDescent="0.25">
      <c r="B77" s="327" t="s">
        <v>293</v>
      </c>
      <c r="C77" s="324" t="s">
        <v>18</v>
      </c>
      <c r="D77" s="325">
        <v>1</v>
      </c>
      <c r="E77" s="364">
        <v>0.06</v>
      </c>
      <c r="F77" s="404">
        <v>172907.22780000002</v>
      </c>
      <c r="G77" s="404">
        <f t="shared" si="1"/>
        <v>10374.433668000001</v>
      </c>
      <c r="I77" s="451"/>
      <c r="J77" s="451"/>
    </row>
    <row r="78" spans="2:10" x14ac:dyDescent="0.25">
      <c r="B78" s="323" t="s">
        <v>471</v>
      </c>
      <c r="C78" s="324" t="s">
        <v>38</v>
      </c>
      <c r="D78" s="325">
        <v>1</v>
      </c>
      <c r="E78" s="364">
        <v>0.04</v>
      </c>
      <c r="F78" s="404">
        <v>39190.096702000003</v>
      </c>
      <c r="G78" s="404">
        <f t="shared" si="1"/>
        <v>1567.6038680800002</v>
      </c>
      <c r="I78" s="451"/>
      <c r="J78" s="451"/>
    </row>
    <row r="79" spans="2:10" x14ac:dyDescent="0.25">
      <c r="B79" s="327" t="s">
        <v>479</v>
      </c>
      <c r="C79" s="324" t="s">
        <v>19</v>
      </c>
      <c r="D79" s="325">
        <v>1</v>
      </c>
      <c r="E79" s="364">
        <v>0.04</v>
      </c>
      <c r="F79" s="404">
        <v>59245.9</v>
      </c>
      <c r="G79" s="404">
        <f t="shared" si="1"/>
        <v>2369.8360000000002</v>
      </c>
      <c r="I79" s="451"/>
      <c r="J79" s="451"/>
    </row>
    <row r="80" spans="2:10" x14ac:dyDescent="0.25">
      <c r="B80" s="323" t="s">
        <v>480</v>
      </c>
      <c r="C80" s="324" t="s">
        <v>20</v>
      </c>
      <c r="D80" s="325">
        <v>1</v>
      </c>
      <c r="E80" s="364">
        <v>0.04</v>
      </c>
      <c r="F80" s="404">
        <v>34257.120000000003</v>
      </c>
      <c r="G80" s="404">
        <f t="shared" si="1"/>
        <v>1370.2848000000001</v>
      </c>
      <c r="I80" s="451"/>
      <c r="J80" s="451"/>
    </row>
    <row r="81" spans="2:10" x14ac:dyDescent="0.25">
      <c r="B81" s="327" t="s">
        <v>481</v>
      </c>
      <c r="C81" s="324" t="s">
        <v>21</v>
      </c>
      <c r="D81" s="325">
        <v>1</v>
      </c>
      <c r="E81" s="364">
        <v>0.04</v>
      </c>
      <c r="F81" s="404">
        <v>11512.794791000002</v>
      </c>
      <c r="G81" s="404">
        <f t="shared" si="1"/>
        <v>460.51179164000007</v>
      </c>
      <c r="I81" s="451"/>
      <c r="J81" s="451"/>
    </row>
    <row r="82" spans="2:10" x14ac:dyDescent="0.25">
      <c r="B82" s="323" t="s">
        <v>523</v>
      </c>
      <c r="C82" s="324" t="s">
        <v>22</v>
      </c>
      <c r="D82" s="325">
        <v>1</v>
      </c>
      <c r="E82" s="364">
        <v>4</v>
      </c>
      <c r="F82" s="404">
        <v>950.65851300000008</v>
      </c>
      <c r="G82" s="404">
        <f t="shared" si="1"/>
        <v>3802.6340520000003</v>
      </c>
      <c r="I82" s="451"/>
      <c r="J82" s="451"/>
    </row>
    <row r="83" spans="2:10" x14ac:dyDescent="0.25">
      <c r="B83" s="327" t="s">
        <v>524</v>
      </c>
      <c r="C83" s="324" t="s">
        <v>23</v>
      </c>
      <c r="D83" s="325">
        <v>1</v>
      </c>
      <c r="E83" s="364">
        <v>3</v>
      </c>
      <c r="F83" s="404">
        <v>17443.093134000002</v>
      </c>
      <c r="G83" s="404">
        <f t="shared" si="1"/>
        <v>52329.279402000007</v>
      </c>
      <c r="I83" s="451"/>
      <c r="J83" s="451"/>
    </row>
    <row r="84" spans="2:10" x14ac:dyDescent="0.25">
      <c r="B84" s="323" t="s">
        <v>525</v>
      </c>
      <c r="C84" s="324" t="s">
        <v>24</v>
      </c>
      <c r="D84" s="325">
        <v>1</v>
      </c>
      <c r="E84" s="364">
        <v>1</v>
      </c>
      <c r="F84" s="404">
        <v>9322.1949190000014</v>
      </c>
      <c r="G84" s="404">
        <f t="shared" si="1"/>
        <v>9322.1949190000014</v>
      </c>
      <c r="I84" s="451"/>
      <c r="J84" s="451"/>
    </row>
    <row r="85" spans="2:10" x14ac:dyDescent="0.25">
      <c r="B85" s="327" t="s">
        <v>526</v>
      </c>
      <c r="C85" s="324" t="s">
        <v>25</v>
      </c>
      <c r="D85" s="325">
        <v>1</v>
      </c>
      <c r="E85" s="364">
        <v>0.1</v>
      </c>
      <c r="F85" s="404">
        <v>53540.403200000008</v>
      </c>
      <c r="G85" s="404">
        <f t="shared" si="1"/>
        <v>5354.040320000001</v>
      </c>
      <c r="I85" s="451"/>
      <c r="J85" s="451"/>
    </row>
    <row r="86" spans="2:10" x14ac:dyDescent="0.25">
      <c r="B86" s="323" t="s">
        <v>527</v>
      </c>
      <c r="C86" s="328" t="s">
        <v>26</v>
      </c>
      <c r="D86" s="325">
        <v>1</v>
      </c>
      <c r="E86" s="365">
        <v>1.6666666666666666E-2</v>
      </c>
      <c r="F86" s="405">
        <v>83251.628200000006</v>
      </c>
      <c r="G86" s="404">
        <f t="shared" si="1"/>
        <v>1387.5271366666668</v>
      </c>
      <c r="I86" s="451"/>
      <c r="J86" s="451"/>
    </row>
    <row r="87" spans="2:10" ht="15.75" thickBot="1" x14ac:dyDescent="0.3">
      <c r="B87" s="331" t="s">
        <v>528</v>
      </c>
      <c r="C87" s="332" t="s">
        <v>27</v>
      </c>
      <c r="D87" s="299">
        <v>1</v>
      </c>
      <c r="E87" s="366">
        <v>2.2222222222222223E-2</v>
      </c>
      <c r="F87" s="406">
        <v>89655.599600000001</v>
      </c>
      <c r="G87" s="390">
        <f t="shared" si="1"/>
        <v>1992.3466577777779</v>
      </c>
      <c r="I87" s="451"/>
      <c r="J87" s="451"/>
    </row>
    <row r="88" spans="2:10" ht="16.5" thickTop="1" thickBot="1" x14ac:dyDescent="0.3">
      <c r="F88" s="452" t="s">
        <v>398</v>
      </c>
      <c r="G88" s="390">
        <f>SUM(G75:G87)</f>
        <v>171051.09591266446</v>
      </c>
      <c r="I88" s="258"/>
      <c r="J88" s="258"/>
    </row>
    <row r="89" spans="2:10" ht="16.5" thickTop="1" thickBot="1" x14ac:dyDescent="0.3">
      <c r="B89" s="290" t="s">
        <v>407</v>
      </c>
      <c r="C89" s="937" t="s">
        <v>408</v>
      </c>
      <c r="D89" s="938"/>
      <c r="E89" s="938"/>
      <c r="F89" s="938"/>
      <c r="G89" s="939"/>
      <c r="I89" s="258"/>
      <c r="J89" s="258"/>
    </row>
    <row r="90" spans="2:10" ht="11.25" customHeight="1" thickTop="1" x14ac:dyDescent="0.25">
      <c r="B90" s="291"/>
      <c r="C90" s="290"/>
      <c r="D90" s="290"/>
      <c r="E90" s="290" t="s">
        <v>52</v>
      </c>
      <c r="F90" s="290" t="s">
        <v>388</v>
      </c>
      <c r="G90" s="290" t="s">
        <v>122</v>
      </c>
      <c r="I90" s="258"/>
      <c r="J90" s="258"/>
    </row>
    <row r="91" spans="2:10" ht="11.25" customHeight="1" x14ac:dyDescent="0.25">
      <c r="B91" s="293"/>
      <c r="C91" s="294" t="s">
        <v>8</v>
      </c>
      <c r="D91" s="294" t="s">
        <v>389</v>
      </c>
      <c r="E91" s="294" t="s">
        <v>409</v>
      </c>
      <c r="F91" s="294" t="s">
        <v>391</v>
      </c>
      <c r="G91" s="294" t="s">
        <v>392</v>
      </c>
      <c r="I91" s="258"/>
      <c r="J91" s="258"/>
    </row>
    <row r="92" spans="2:10" ht="11.25" customHeight="1" thickBot="1" x14ac:dyDescent="0.3">
      <c r="B92" s="295"/>
      <c r="C92" s="295"/>
      <c r="D92" s="296" t="s">
        <v>410</v>
      </c>
      <c r="E92" s="296" t="s">
        <v>411</v>
      </c>
      <c r="F92" s="296" t="s">
        <v>412</v>
      </c>
      <c r="G92" s="296" t="s">
        <v>413</v>
      </c>
      <c r="I92" s="258"/>
      <c r="J92" s="258"/>
    </row>
    <row r="93" spans="2:10" ht="15.75" thickTop="1" x14ac:dyDescent="0.25">
      <c r="B93" s="340" t="s">
        <v>296</v>
      </c>
      <c r="C93" s="341" t="s">
        <v>39</v>
      </c>
      <c r="D93" s="342">
        <v>1</v>
      </c>
      <c r="E93" s="404">
        <v>115796.59646500001</v>
      </c>
      <c r="F93" s="325">
        <v>7</v>
      </c>
      <c r="G93" s="404">
        <f>D93*E93/F93</f>
        <v>16542.37092357143</v>
      </c>
      <c r="I93" s="258"/>
      <c r="J93" s="258"/>
    </row>
    <row r="94" spans="2:10" x14ac:dyDescent="0.25">
      <c r="B94" s="323" t="s">
        <v>298</v>
      </c>
      <c r="C94" s="328" t="s">
        <v>40</v>
      </c>
      <c r="D94" s="325">
        <v>1</v>
      </c>
      <c r="E94" s="405">
        <v>68001.713016599984</v>
      </c>
      <c r="F94" s="453">
        <v>7</v>
      </c>
      <c r="G94" s="404">
        <f t="shared" ref="G94:G99" si="2">D94*E94/F94</f>
        <v>9714.5304309428557</v>
      </c>
      <c r="I94" s="451"/>
      <c r="J94" s="451"/>
    </row>
    <row r="95" spans="2:10" x14ac:dyDescent="0.25">
      <c r="B95" s="323" t="s">
        <v>300</v>
      </c>
      <c r="C95" s="324" t="s">
        <v>41</v>
      </c>
      <c r="D95" s="325">
        <v>1</v>
      </c>
      <c r="E95" s="404">
        <v>65283.015368999993</v>
      </c>
      <c r="F95" s="453">
        <v>7</v>
      </c>
      <c r="G95" s="404">
        <f t="shared" si="2"/>
        <v>9326.1450527142842</v>
      </c>
      <c r="I95" s="451"/>
      <c r="J95" s="451"/>
    </row>
    <row r="96" spans="2:10" x14ac:dyDescent="0.25">
      <c r="B96" s="323" t="s">
        <v>519</v>
      </c>
      <c r="C96" s="324" t="s">
        <v>42</v>
      </c>
      <c r="D96" s="325">
        <v>1</v>
      </c>
      <c r="E96" s="404">
        <v>96678.947266000003</v>
      </c>
      <c r="F96" s="453">
        <v>7</v>
      </c>
      <c r="G96" s="404">
        <f t="shared" si="2"/>
        <v>13811.278180857144</v>
      </c>
      <c r="I96" s="451"/>
      <c r="J96" s="451"/>
    </row>
    <row r="97" spans="1:10" x14ac:dyDescent="0.25">
      <c r="B97" s="323" t="s">
        <v>520</v>
      </c>
      <c r="C97" s="324" t="s">
        <v>43</v>
      </c>
      <c r="D97" s="325">
        <v>1</v>
      </c>
      <c r="E97" s="404">
        <v>48990.877666499997</v>
      </c>
      <c r="F97" s="453">
        <v>7</v>
      </c>
      <c r="G97" s="404">
        <f t="shared" si="2"/>
        <v>6998.6968094999993</v>
      </c>
      <c r="I97" s="451"/>
      <c r="J97" s="451"/>
    </row>
    <row r="98" spans="1:10" x14ac:dyDescent="0.25">
      <c r="B98" s="323" t="s">
        <v>529</v>
      </c>
      <c r="C98" s="328" t="s">
        <v>43</v>
      </c>
      <c r="D98" s="325">
        <v>1</v>
      </c>
      <c r="E98" s="405">
        <v>48990.877666499997</v>
      </c>
      <c r="F98" s="453">
        <v>7</v>
      </c>
      <c r="G98" s="404">
        <f t="shared" si="2"/>
        <v>6998.6968094999993</v>
      </c>
      <c r="I98" s="451"/>
      <c r="J98" s="451"/>
    </row>
    <row r="99" spans="1:10" ht="15.75" thickBot="1" x14ac:dyDescent="0.3">
      <c r="B99" s="343" t="s">
        <v>530</v>
      </c>
      <c r="C99" s="344" t="s">
        <v>44</v>
      </c>
      <c r="D99" s="342">
        <v>1</v>
      </c>
      <c r="E99" s="404">
        <v>96678.947266000003</v>
      </c>
      <c r="F99" s="325">
        <v>7</v>
      </c>
      <c r="G99" s="326">
        <f t="shared" si="2"/>
        <v>13811.278180857144</v>
      </c>
      <c r="I99" s="258"/>
      <c r="J99" s="258"/>
    </row>
    <row r="100" spans="1:10" ht="16.5" thickTop="1" thickBot="1" x14ac:dyDescent="0.3">
      <c r="F100" s="314" t="s">
        <v>398</v>
      </c>
      <c r="G100" s="449">
        <f>SUM(G93:G99)</f>
        <v>77202.996387942854</v>
      </c>
      <c r="I100" s="258"/>
      <c r="J100" s="258"/>
    </row>
    <row r="101" spans="1:10" ht="16.5" thickTop="1" thickBot="1" x14ac:dyDescent="0.3">
      <c r="B101" s="930" t="s">
        <v>531</v>
      </c>
      <c r="C101" s="931"/>
      <c r="D101" s="931"/>
      <c r="E101" s="931"/>
      <c r="F101" s="352"/>
      <c r="G101" s="450">
        <f>G70+G88+G100</f>
        <v>268940.75896727399</v>
      </c>
    </row>
    <row r="102" spans="1:10" ht="16.5" thickTop="1" thickBot="1" x14ac:dyDescent="0.3">
      <c r="B102" s="930" t="s">
        <v>423</v>
      </c>
      <c r="C102" s="931"/>
      <c r="D102" s="931"/>
      <c r="E102" s="931"/>
      <c r="F102" s="354">
        <v>0</v>
      </c>
      <c r="G102" s="355"/>
    </row>
    <row r="103" spans="1:10" ht="16.5" thickTop="1" thickBot="1" x14ac:dyDescent="0.3">
      <c r="B103" s="356" t="s">
        <v>424</v>
      </c>
      <c r="C103" s="357"/>
      <c r="D103" s="357"/>
      <c r="E103" s="357"/>
      <c r="F103" s="358"/>
      <c r="G103" s="359">
        <f>ROUND(G101,0)</f>
        <v>268941</v>
      </c>
      <c r="I103" s="360"/>
    </row>
    <row r="104" spans="1:10" ht="15.75" thickTop="1" x14ac:dyDescent="0.25">
      <c r="B104" s="376"/>
      <c r="C104" s="376"/>
      <c r="D104" s="376"/>
      <c r="E104" s="376"/>
      <c r="F104" s="377"/>
      <c r="G104" s="378"/>
    </row>
    <row r="105" spans="1:10" x14ac:dyDescent="0.25">
      <c r="B105" s="376"/>
      <c r="C105" s="362" t="s">
        <v>425</v>
      </c>
      <c r="G105" s="378"/>
    </row>
    <row r="106" spans="1:10" ht="12" customHeight="1" thickBot="1" x14ac:dyDescent="0.3">
      <c r="B106" s="376"/>
      <c r="C106" s="932" t="s">
        <v>621</v>
      </c>
      <c r="D106" s="932"/>
      <c r="E106" s="932"/>
      <c r="F106" s="932"/>
      <c r="G106" s="378"/>
    </row>
    <row r="107" spans="1:10" ht="15.75" thickTop="1" x14ac:dyDescent="0.25">
      <c r="A107" s="940" t="s">
        <v>378</v>
      </c>
      <c r="B107" s="941"/>
      <c r="C107" s="941"/>
      <c r="D107" s="941"/>
      <c r="E107" s="941"/>
      <c r="F107" s="941"/>
      <c r="G107" s="941"/>
      <c r="H107" s="942"/>
    </row>
    <row r="108" spans="1:10" x14ac:dyDescent="0.25">
      <c r="A108" s="943" t="s">
        <v>379</v>
      </c>
      <c r="B108" s="944"/>
      <c r="C108" s="944"/>
      <c r="D108" s="944"/>
      <c r="E108" s="944"/>
      <c r="F108" s="944"/>
      <c r="G108" s="944"/>
      <c r="H108" s="945"/>
    </row>
    <row r="109" spans="1:10" ht="15.75" thickBot="1" x14ac:dyDescent="0.3">
      <c r="A109" s="946" t="s">
        <v>261</v>
      </c>
      <c r="B109" s="947"/>
      <c r="C109" s="947"/>
      <c r="D109" s="947"/>
      <c r="E109" s="947"/>
      <c r="F109" s="947"/>
      <c r="G109" s="947"/>
      <c r="H109" s="948"/>
    </row>
    <row r="110" spans="1:10" ht="16.5" thickTop="1" thickBot="1" x14ac:dyDescent="0.3">
      <c r="A110" s="949" t="s">
        <v>30</v>
      </c>
      <c r="B110" s="950"/>
      <c r="C110" s="950"/>
      <c r="D110" s="950"/>
      <c r="E110" s="950"/>
      <c r="F110" s="950"/>
      <c r="G110" s="950"/>
      <c r="H110" s="951"/>
    </row>
    <row r="111" spans="1:10" ht="15.75" thickTop="1" x14ac:dyDescent="0.25">
      <c r="A111" s="277" t="s">
        <v>380</v>
      </c>
      <c r="B111" s="952" t="str">
        <f>B56</f>
        <v xml:space="preserve">REPOSICION DE SEMAFORIZACION INTERSECCIONES VIALES    </v>
      </c>
      <c r="C111" s="952"/>
      <c r="D111" s="952"/>
      <c r="E111" s="952"/>
      <c r="F111" s="952"/>
      <c r="G111" s="278"/>
      <c r="H111" s="279"/>
    </row>
    <row r="112" spans="1:10" x14ac:dyDescent="0.25">
      <c r="A112" s="280" t="s">
        <v>382</v>
      </c>
      <c r="B112" s="281" t="s">
        <v>353</v>
      </c>
      <c r="C112" s="281" t="str">
        <f>'[2]Ppto Obra Semaforizacion'!B34</f>
        <v>SEÑALIZACION</v>
      </c>
      <c r="D112" s="281"/>
      <c r="E112" s="282"/>
      <c r="F112" s="283" t="s">
        <v>383</v>
      </c>
      <c r="G112" s="284" t="s">
        <v>345</v>
      </c>
      <c r="H112" s="285"/>
    </row>
    <row r="113" spans="1:8" ht="15.75" thickBot="1" x14ac:dyDescent="0.3">
      <c r="A113" s="286" t="s">
        <v>384</v>
      </c>
      <c r="B113" s="287" t="s">
        <v>343</v>
      </c>
      <c r="C113" s="953" t="str">
        <f>'[2]Ppto Obra Semaforizacion'!B37</f>
        <v>SEÑALIZACION DE PREVENCION CON CINTA Y AISLAMIENTO DE AREAS DE TRABAJO.</v>
      </c>
      <c r="D113" s="953"/>
      <c r="E113" s="953"/>
      <c r="F113" s="288" t="s">
        <v>385</v>
      </c>
      <c r="G113" s="287" t="s">
        <v>620</v>
      </c>
      <c r="H113" s="289"/>
    </row>
    <row r="114" spans="1:8" ht="16.5" thickTop="1" thickBot="1" x14ac:dyDescent="0.3"/>
    <row r="115" spans="1:8" ht="16.5" thickTop="1" thickBot="1" x14ac:dyDescent="0.3">
      <c r="B115" s="290" t="s">
        <v>183</v>
      </c>
      <c r="C115" s="937" t="s">
        <v>386</v>
      </c>
      <c r="D115" s="938"/>
      <c r="E115" s="938"/>
      <c r="F115" s="938"/>
      <c r="G115" s="939"/>
    </row>
    <row r="116" spans="1:8" ht="15.75" thickTop="1" x14ac:dyDescent="0.25">
      <c r="B116" s="291"/>
      <c r="C116" s="290"/>
      <c r="D116" s="290"/>
      <c r="E116" s="290" t="s">
        <v>387</v>
      </c>
      <c r="F116" s="290" t="s">
        <v>388</v>
      </c>
      <c r="G116" s="290" t="s">
        <v>122</v>
      </c>
    </row>
    <row r="117" spans="1:8" x14ac:dyDescent="0.25">
      <c r="B117" s="293"/>
      <c r="C117" s="294" t="s">
        <v>8</v>
      </c>
      <c r="D117" s="294" t="s">
        <v>389</v>
      </c>
      <c r="E117" s="294" t="s">
        <v>390</v>
      </c>
      <c r="F117" s="294" t="s">
        <v>391</v>
      </c>
      <c r="G117" s="294" t="s">
        <v>392</v>
      </c>
    </row>
    <row r="118" spans="1:8" ht="15.75" thickBot="1" x14ac:dyDescent="0.3">
      <c r="B118" s="295"/>
      <c r="C118" s="295"/>
      <c r="D118" s="296" t="s">
        <v>393</v>
      </c>
      <c r="E118" s="296" t="s">
        <v>394</v>
      </c>
      <c r="F118" s="296" t="s">
        <v>395</v>
      </c>
      <c r="G118" s="296" t="s">
        <v>396</v>
      </c>
    </row>
    <row r="119" spans="1:8" ht="16.5" thickTop="1" thickBot="1" x14ac:dyDescent="0.3">
      <c r="B119" s="297" t="s">
        <v>185</v>
      </c>
      <c r="C119" s="298" t="s">
        <v>262</v>
      </c>
      <c r="D119" s="299">
        <v>1</v>
      </c>
      <c r="E119" s="292">
        <f>18300*1.16</f>
        <v>21228</v>
      </c>
      <c r="F119" s="300">
        <v>100</v>
      </c>
      <c r="G119" s="301">
        <f>D119*E119/F119</f>
        <v>212.28</v>
      </c>
    </row>
    <row r="120" spans="1:8" ht="16.5" thickTop="1" thickBot="1" x14ac:dyDescent="0.3">
      <c r="B120" s="297"/>
      <c r="C120" s="298"/>
      <c r="D120" s="299"/>
      <c r="E120" s="292"/>
      <c r="F120" s="299"/>
      <c r="G120" s="301"/>
    </row>
    <row r="121" spans="1:8" ht="16.5" thickTop="1" thickBot="1" x14ac:dyDescent="0.3">
      <c r="F121" s="314" t="s">
        <v>398</v>
      </c>
      <c r="G121" s="315">
        <f>SUM(G119:G120)</f>
        <v>212.28</v>
      </c>
    </row>
    <row r="122" spans="1:8" ht="16.5" thickTop="1" thickBot="1" x14ac:dyDescent="0.3"/>
    <row r="123" spans="1:8" ht="16.5" thickTop="1" thickBot="1" x14ac:dyDescent="0.3">
      <c r="B123" s="317" t="s">
        <v>192</v>
      </c>
      <c r="C123" s="933" t="s">
        <v>399</v>
      </c>
      <c r="D123" s="933"/>
      <c r="E123" s="933"/>
      <c r="F123" s="933"/>
      <c r="G123" s="933"/>
    </row>
    <row r="124" spans="1:8" ht="15.75" thickTop="1" x14ac:dyDescent="0.25">
      <c r="B124" s="318"/>
      <c r="C124" s="290"/>
      <c r="D124" s="290"/>
      <c r="E124" s="290"/>
      <c r="F124" s="290" t="s">
        <v>122</v>
      </c>
      <c r="G124" s="290" t="s">
        <v>122</v>
      </c>
    </row>
    <row r="125" spans="1:8" x14ac:dyDescent="0.25">
      <c r="B125" s="319"/>
      <c r="C125" s="294" t="s">
        <v>8</v>
      </c>
      <c r="D125" s="294" t="s">
        <v>169</v>
      </c>
      <c r="E125" s="294" t="s">
        <v>0</v>
      </c>
      <c r="F125" s="294" t="s">
        <v>400</v>
      </c>
      <c r="G125" s="294" t="s">
        <v>392</v>
      </c>
    </row>
    <row r="126" spans="1:8" ht="15.75" thickBot="1" x14ac:dyDescent="0.3">
      <c r="B126" s="320"/>
      <c r="C126" s="295"/>
      <c r="D126" s="321"/>
      <c r="E126" s="296" t="s">
        <v>401</v>
      </c>
      <c r="F126" s="296" t="s">
        <v>402</v>
      </c>
      <c r="G126" s="296" t="s">
        <v>403</v>
      </c>
    </row>
    <row r="127" spans="1:8" ht="15.75" thickTop="1" x14ac:dyDescent="0.25">
      <c r="B127" s="381" t="s">
        <v>289</v>
      </c>
      <c r="C127" s="382" t="s">
        <v>532</v>
      </c>
      <c r="D127" s="307" t="s">
        <v>429</v>
      </c>
      <c r="E127" s="307">
        <v>0.01</v>
      </c>
      <c r="F127" s="308">
        <v>50000</v>
      </c>
      <c r="G127" s="308">
        <f>E127*F127</f>
        <v>500</v>
      </c>
    </row>
    <row r="128" spans="1:8" x14ac:dyDescent="0.25">
      <c r="B128" s="323" t="s">
        <v>291</v>
      </c>
      <c r="C128" s="383" t="s">
        <v>533</v>
      </c>
      <c r="D128" s="325" t="s">
        <v>345</v>
      </c>
      <c r="E128" s="325">
        <v>0.25</v>
      </c>
      <c r="F128" s="326">
        <v>1692</v>
      </c>
      <c r="G128" s="326">
        <f>E128*F128</f>
        <v>423</v>
      </c>
    </row>
    <row r="129" spans="2:7" x14ac:dyDescent="0.25">
      <c r="B129" s="323" t="s">
        <v>293</v>
      </c>
      <c r="C129" s="411" t="s">
        <v>534</v>
      </c>
      <c r="D129" s="325" t="s">
        <v>497</v>
      </c>
      <c r="E129" s="454">
        <v>3.0000000000000001E-3</v>
      </c>
      <c r="F129" s="330">
        <v>310190</v>
      </c>
      <c r="G129" s="326">
        <f>E129*F129</f>
        <v>930.57</v>
      </c>
    </row>
    <row r="130" spans="2:7" x14ac:dyDescent="0.25">
      <c r="D130" s="934" t="s">
        <v>404</v>
      </c>
      <c r="E130" s="934"/>
      <c r="F130" s="335"/>
      <c r="G130" s="336"/>
    </row>
    <row r="131" spans="2:7" x14ac:dyDescent="0.25">
      <c r="D131" s="935" t="s">
        <v>405</v>
      </c>
      <c r="E131" s="935"/>
      <c r="F131" s="337"/>
      <c r="G131" s="338"/>
    </row>
    <row r="132" spans="2:7" ht="15.75" thickBot="1" x14ac:dyDescent="0.3">
      <c r="D132" s="936" t="s">
        <v>406</v>
      </c>
      <c r="E132" s="936"/>
      <c r="F132" s="339"/>
      <c r="G132" s="292">
        <f>SUM(G127:G129)</f>
        <v>1853.5700000000002</v>
      </c>
    </row>
    <row r="133" spans="2:7" ht="16.5" thickTop="1" thickBot="1" x14ac:dyDescent="0.3"/>
    <row r="134" spans="2:7" ht="16.5" thickTop="1" thickBot="1" x14ac:dyDescent="0.3">
      <c r="B134" s="290" t="s">
        <v>407</v>
      </c>
      <c r="C134" s="933" t="s">
        <v>408</v>
      </c>
      <c r="D134" s="933"/>
      <c r="E134" s="933"/>
      <c r="F134" s="933"/>
      <c r="G134" s="933"/>
    </row>
    <row r="135" spans="2:7" ht="15.75" thickTop="1" x14ac:dyDescent="0.25">
      <c r="B135" s="291"/>
      <c r="C135" s="290"/>
      <c r="D135" s="290"/>
      <c r="E135" s="290" t="s">
        <v>52</v>
      </c>
      <c r="F135" s="290" t="s">
        <v>388</v>
      </c>
      <c r="G135" s="290" t="s">
        <v>122</v>
      </c>
    </row>
    <row r="136" spans="2:7" x14ac:dyDescent="0.25">
      <c r="B136" s="293"/>
      <c r="C136" s="294" t="s">
        <v>8</v>
      </c>
      <c r="D136" s="294" t="s">
        <v>389</v>
      </c>
      <c r="E136" s="294" t="s">
        <v>409</v>
      </c>
      <c r="F136" s="294" t="s">
        <v>391</v>
      </c>
      <c r="G136" s="294" t="s">
        <v>392</v>
      </c>
    </row>
    <row r="137" spans="2:7" ht="15.75" thickBot="1" x14ac:dyDescent="0.3">
      <c r="B137" s="295"/>
      <c r="C137" s="295"/>
      <c r="D137" s="296" t="s">
        <v>410</v>
      </c>
      <c r="E137" s="296" t="s">
        <v>411</v>
      </c>
      <c r="F137" s="296" t="s">
        <v>412</v>
      </c>
      <c r="G137" s="296" t="s">
        <v>413</v>
      </c>
    </row>
    <row r="138" spans="2:7" ht="15.75" thickTop="1" x14ac:dyDescent="0.25">
      <c r="B138" s="340" t="s">
        <v>296</v>
      </c>
      <c r="C138" s="341" t="s">
        <v>414</v>
      </c>
      <c r="D138" s="342">
        <v>2</v>
      </c>
      <c r="E138" s="326">
        <v>45915</v>
      </c>
      <c r="F138" s="325">
        <v>200</v>
      </c>
      <c r="G138" s="326">
        <f>D138*E138/F138</f>
        <v>459.15</v>
      </c>
    </row>
    <row r="139" spans="2:7" ht="15.75" thickBot="1" x14ac:dyDescent="0.3">
      <c r="B139" s="343"/>
      <c r="C139" s="344"/>
      <c r="D139" s="342"/>
      <c r="E139" s="326"/>
      <c r="F139" s="325"/>
      <c r="G139" s="326"/>
    </row>
    <row r="140" spans="2:7" ht="16.5" thickTop="1" thickBot="1" x14ac:dyDescent="0.3">
      <c r="F140" s="314" t="s">
        <v>398</v>
      </c>
      <c r="G140" s="315">
        <f>SUM(G138:G139)</f>
        <v>459.15</v>
      </c>
    </row>
    <row r="141" spans="2:7" ht="16.5" thickTop="1" thickBot="1" x14ac:dyDescent="0.3"/>
    <row r="142" spans="2:7" ht="16.5" thickTop="1" thickBot="1" x14ac:dyDescent="0.3">
      <c r="B142" s="290" t="s">
        <v>303</v>
      </c>
      <c r="C142" s="933" t="s">
        <v>416</v>
      </c>
      <c r="D142" s="933"/>
      <c r="E142" s="933"/>
      <c r="F142" s="933"/>
      <c r="G142" s="933"/>
    </row>
    <row r="143" spans="2:7" ht="15.75" thickTop="1" x14ac:dyDescent="0.25">
      <c r="B143" s="291"/>
      <c r="C143" s="290"/>
      <c r="D143" s="290"/>
      <c r="E143" s="290"/>
      <c r="F143" s="290"/>
      <c r="G143" s="290" t="s">
        <v>122</v>
      </c>
    </row>
    <row r="144" spans="2:7" x14ac:dyDescent="0.25">
      <c r="B144" s="293"/>
      <c r="C144" s="294" t="s">
        <v>8</v>
      </c>
      <c r="D144" s="294" t="s">
        <v>389</v>
      </c>
      <c r="E144" s="294" t="s">
        <v>182</v>
      </c>
      <c r="F144" s="294" t="s">
        <v>388</v>
      </c>
      <c r="G144" s="294" t="s">
        <v>392</v>
      </c>
    </row>
    <row r="145" spans="2:7" ht="15.75" thickBot="1" x14ac:dyDescent="0.3">
      <c r="B145" s="295"/>
      <c r="C145" s="295"/>
      <c r="D145" s="296" t="s">
        <v>417</v>
      </c>
      <c r="E145" s="296" t="s">
        <v>418</v>
      </c>
      <c r="F145" s="296" t="s">
        <v>419</v>
      </c>
      <c r="G145" s="296" t="s">
        <v>420</v>
      </c>
    </row>
    <row r="146" spans="2:7" ht="15.75" thickTop="1" x14ac:dyDescent="0.25">
      <c r="B146" s="347"/>
      <c r="C146" s="348"/>
      <c r="D146" s="349"/>
      <c r="E146" s="350"/>
      <c r="F146" s="349"/>
      <c r="G146" s="350"/>
    </row>
    <row r="147" spans="2:7" ht="15.75" thickBot="1" x14ac:dyDescent="0.3">
      <c r="B147" s="331"/>
      <c r="C147" s="351"/>
      <c r="D147" s="299"/>
      <c r="E147" s="299"/>
      <c r="F147" s="299"/>
      <c r="G147" s="292"/>
    </row>
    <row r="148" spans="2:7" ht="16.5" thickTop="1" thickBot="1" x14ac:dyDescent="0.3">
      <c r="F148" s="314" t="s">
        <v>398</v>
      </c>
      <c r="G148" s="315">
        <f>SUM(G146:G147)</f>
        <v>0</v>
      </c>
    </row>
    <row r="149" spans="2:7" ht="16.5" thickTop="1" thickBot="1" x14ac:dyDescent="0.3">
      <c r="G149" s="269"/>
    </row>
    <row r="150" spans="2:7" ht="16.5" thickTop="1" thickBot="1" x14ac:dyDescent="0.3">
      <c r="B150" s="928" t="s">
        <v>422</v>
      </c>
      <c r="C150" s="929"/>
      <c r="D150" s="929"/>
      <c r="E150" s="929"/>
      <c r="F150" s="352"/>
      <c r="G150" s="353">
        <f>G121+G132+G140+G148</f>
        <v>2525.0000000000005</v>
      </c>
    </row>
    <row r="151" spans="2:7" ht="16.5" thickTop="1" thickBot="1" x14ac:dyDescent="0.3">
      <c r="B151" s="930" t="s">
        <v>423</v>
      </c>
      <c r="C151" s="931"/>
      <c r="D151" s="931"/>
      <c r="E151" s="931"/>
      <c r="F151" s="354">
        <v>0</v>
      </c>
      <c r="G151" s="355"/>
    </row>
    <row r="152" spans="2:7" ht="16.5" thickTop="1" thickBot="1" x14ac:dyDescent="0.3">
      <c r="B152" s="356" t="s">
        <v>424</v>
      </c>
      <c r="C152" s="357"/>
      <c r="D152" s="357"/>
      <c r="E152" s="357"/>
      <c r="F152" s="358"/>
      <c r="G152" s="359">
        <f>ROUND(G150,0)</f>
        <v>2525</v>
      </c>
    </row>
    <row r="153" spans="2:7" ht="15.75" thickTop="1" x14ac:dyDescent="0.25">
      <c r="B153" s="376"/>
      <c r="C153" s="376"/>
      <c r="D153" s="376"/>
      <c r="E153" s="376"/>
      <c r="F153" s="377"/>
      <c r="G153" s="378"/>
    </row>
    <row r="154" spans="2:7" x14ac:dyDescent="0.25">
      <c r="B154" s="376"/>
      <c r="C154" s="362" t="s">
        <v>425</v>
      </c>
      <c r="G154" s="378"/>
    </row>
    <row r="155" spans="2:7" ht="15" customHeight="1" x14ac:dyDescent="0.25">
      <c r="B155" s="376"/>
      <c r="C155" s="932" t="s">
        <v>621</v>
      </c>
      <c r="D155" s="932"/>
      <c r="E155" s="932"/>
      <c r="F155" s="932"/>
      <c r="G155" s="378"/>
    </row>
  </sheetData>
  <mergeCells count="44">
    <mergeCell ref="C31:G31"/>
    <mergeCell ref="A1:H1"/>
    <mergeCell ref="A2:H2"/>
    <mergeCell ref="A3:H3"/>
    <mergeCell ref="A4:H4"/>
    <mergeCell ref="B5:F5"/>
    <mergeCell ref="C7:E7"/>
    <mergeCell ref="C9:G9"/>
    <mergeCell ref="C19:G19"/>
    <mergeCell ref="D27:E27"/>
    <mergeCell ref="D28:E28"/>
    <mergeCell ref="D29:E29"/>
    <mergeCell ref="C71:G71"/>
    <mergeCell ref="B43:E43"/>
    <mergeCell ref="B44:E44"/>
    <mergeCell ref="C49:F49"/>
    <mergeCell ref="A52:H52"/>
    <mergeCell ref="A53:H53"/>
    <mergeCell ref="A54:H54"/>
    <mergeCell ref="A55:H55"/>
    <mergeCell ref="B56:F56"/>
    <mergeCell ref="C57:E57"/>
    <mergeCell ref="C58:E58"/>
    <mergeCell ref="C59:G59"/>
    <mergeCell ref="C123:G123"/>
    <mergeCell ref="C89:G89"/>
    <mergeCell ref="B101:E101"/>
    <mergeCell ref="B102:E102"/>
    <mergeCell ref="C106:F106"/>
    <mergeCell ref="A107:H107"/>
    <mergeCell ref="A108:H108"/>
    <mergeCell ref="A109:H109"/>
    <mergeCell ref="A110:H110"/>
    <mergeCell ref="B111:F111"/>
    <mergeCell ref="C113:E113"/>
    <mergeCell ref="C115:G115"/>
    <mergeCell ref="B151:E151"/>
    <mergeCell ref="C155:F155"/>
    <mergeCell ref="D130:E130"/>
    <mergeCell ref="D131:E131"/>
    <mergeCell ref="D132:E132"/>
    <mergeCell ref="C134:G134"/>
    <mergeCell ref="C142:G142"/>
    <mergeCell ref="B150:E150"/>
  </mergeCells>
  <pageMargins left="0.7" right="0.7" top="0.75" bottom="0.75" header="0.3" footer="0.3"/>
  <pageSetup scale="85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S105"/>
  <sheetViews>
    <sheetView topLeftCell="A2" workbookViewId="0">
      <selection activeCell="A8" sqref="A1:A1048576"/>
    </sheetView>
  </sheetViews>
  <sheetFormatPr baseColWidth="10" defaultRowHeight="14.25" x14ac:dyDescent="0.2"/>
  <cols>
    <col min="1" max="1" width="11.42578125" style="28"/>
    <col min="2" max="2" width="8.42578125" style="93" bestFit="1" customWidth="1"/>
    <col min="3" max="3" width="33.85546875" style="94" customWidth="1"/>
    <col min="4" max="4" width="17.42578125" style="95" customWidth="1"/>
    <col min="5" max="7" width="17.42578125" style="94" customWidth="1"/>
    <col min="8" max="8" width="17.42578125" style="32" customWidth="1"/>
    <col min="9" max="9" width="17.42578125" style="33" customWidth="1"/>
    <col min="10" max="10" width="14.7109375" style="94" customWidth="1"/>
    <col min="11" max="11" width="34.42578125" style="28" customWidth="1"/>
    <col min="12" max="12" width="8.28515625" style="29" customWidth="1"/>
    <col min="13" max="13" width="8.42578125" style="28" customWidth="1"/>
    <col min="14" max="14" width="13.28515625" style="29" bestFit="1" customWidth="1"/>
    <col min="15" max="15" width="10.28515625" style="28" customWidth="1"/>
    <col min="16" max="16" width="12.42578125" style="28" customWidth="1"/>
    <col min="17" max="17" width="10.28515625" style="28" customWidth="1"/>
    <col min="18" max="18" width="12.140625" style="28" customWidth="1"/>
    <col min="19" max="19" width="10.28515625" style="28" customWidth="1"/>
    <col min="20" max="20" width="12.140625" style="28" customWidth="1"/>
    <col min="21" max="21" width="10.28515625" style="28" customWidth="1"/>
    <col min="22" max="22" width="12.42578125" style="29" customWidth="1"/>
    <col min="23" max="23" width="11.140625" style="28" customWidth="1"/>
    <col min="24" max="24" width="13.140625" style="28" customWidth="1"/>
    <col min="25" max="25" width="11.140625" style="28" customWidth="1"/>
    <col min="26" max="26" width="12.7109375" style="28" customWidth="1"/>
    <col min="27" max="27" width="11.140625" style="28" customWidth="1"/>
    <col min="28" max="28" width="12.28515625" style="28" customWidth="1"/>
    <col min="29" max="29" width="11.140625" style="28" customWidth="1"/>
    <col min="30" max="30" width="12.42578125" style="28" customWidth="1"/>
    <col min="31" max="31" width="9.42578125" style="28" customWidth="1"/>
    <col min="32" max="32" width="12.42578125" style="28" customWidth="1"/>
    <col min="33" max="33" width="9.42578125" style="28" customWidth="1"/>
    <col min="34" max="34" width="12.42578125" style="28" customWidth="1"/>
    <col min="35" max="35" width="9.7109375" style="28" customWidth="1"/>
    <col min="36" max="36" width="12" style="28" customWidth="1"/>
    <col min="37" max="37" width="9.42578125" style="28" customWidth="1"/>
    <col min="38" max="38" width="12.7109375" style="28" customWidth="1"/>
    <col min="39" max="39" width="9.42578125" style="28" customWidth="1"/>
    <col min="40" max="40" width="12.42578125" style="28" customWidth="1"/>
    <col min="41" max="41" width="10.42578125" style="28" customWidth="1"/>
    <col min="42" max="42" width="12.7109375" style="28" customWidth="1"/>
    <col min="43" max="43" width="11.42578125" style="28"/>
    <col min="44" max="44" width="12.42578125" style="28" customWidth="1"/>
    <col min="45" max="16384" width="11.42578125" style="28"/>
  </cols>
  <sheetData>
    <row r="1" spans="2:45" s="8" customFormat="1" ht="21.75" hidden="1" customHeight="1" x14ac:dyDescent="0.2">
      <c r="B1" s="988" t="s">
        <v>167</v>
      </c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90"/>
    </row>
    <row r="2" spans="2:45" s="29" customFormat="1" ht="18.75" x14ac:dyDescent="0.3">
      <c r="B2" s="991" t="s">
        <v>49</v>
      </c>
      <c r="C2" s="992"/>
      <c r="D2" s="992"/>
      <c r="E2" s="992"/>
      <c r="F2" s="992"/>
      <c r="G2" s="992"/>
      <c r="H2" s="992"/>
      <c r="I2" s="993"/>
      <c r="J2" s="27"/>
      <c r="K2" s="28"/>
      <c r="M2" s="28"/>
      <c r="O2" s="28"/>
      <c r="P2" s="28"/>
      <c r="Q2" s="28"/>
      <c r="R2" s="28"/>
      <c r="S2" s="28"/>
      <c r="T2" s="28"/>
      <c r="U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2:45" s="29" customFormat="1" ht="18.75" x14ac:dyDescent="0.3">
      <c r="B3" s="994" t="s">
        <v>50</v>
      </c>
      <c r="C3" s="995"/>
      <c r="D3" s="995"/>
      <c r="E3" s="995"/>
      <c r="F3" s="995"/>
      <c r="G3" s="995"/>
      <c r="H3" s="995"/>
      <c r="I3" s="996"/>
      <c r="J3" s="27"/>
      <c r="K3" s="28"/>
      <c r="M3" s="28"/>
      <c r="O3" s="28"/>
      <c r="P3" s="28"/>
      <c r="Q3" s="28"/>
      <c r="R3" s="28"/>
      <c r="S3" s="28"/>
      <c r="T3" s="28"/>
      <c r="U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2:45" s="29" customFormat="1" ht="21" x14ac:dyDescent="0.35">
      <c r="B4" s="997" t="s">
        <v>535</v>
      </c>
      <c r="C4" s="998"/>
      <c r="D4" s="998"/>
      <c r="E4" s="998"/>
      <c r="F4" s="998"/>
      <c r="G4" s="998"/>
      <c r="H4" s="998"/>
      <c r="I4" s="999"/>
      <c r="J4" s="30"/>
      <c r="K4" s="28"/>
      <c r="M4" s="28"/>
      <c r="O4" s="28"/>
      <c r="P4" s="28"/>
      <c r="Q4" s="28"/>
      <c r="R4" s="28"/>
      <c r="S4" s="28"/>
      <c r="T4" s="28"/>
      <c r="U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2:45" s="29" customFormat="1" ht="15.75" customHeight="1" thickBot="1" x14ac:dyDescent="0.25">
      <c r="B5" s="1000"/>
      <c r="C5" s="1001"/>
      <c r="D5" s="1001"/>
      <c r="E5" s="1001"/>
      <c r="F5" s="1001"/>
      <c r="G5" s="1001"/>
      <c r="H5" s="1001"/>
      <c r="I5" s="1002"/>
      <c r="J5" s="28"/>
      <c r="K5" s="28"/>
      <c r="M5" s="28"/>
      <c r="O5" s="28"/>
      <c r="P5" s="28"/>
      <c r="Q5" s="28"/>
      <c r="R5" s="28"/>
      <c r="S5" s="28"/>
      <c r="T5" s="28"/>
      <c r="U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2:45" s="29" customFormat="1" ht="12.75" x14ac:dyDescent="0.2">
      <c r="B6" s="1003" t="s">
        <v>51</v>
      </c>
      <c r="C6" s="1005" t="s">
        <v>8</v>
      </c>
      <c r="D6" s="1005" t="s">
        <v>52</v>
      </c>
      <c r="E6" s="1007" t="s">
        <v>53</v>
      </c>
      <c r="F6" s="1008" t="s">
        <v>54</v>
      </c>
      <c r="G6" s="232" t="s">
        <v>55</v>
      </c>
      <c r="H6" s="195" t="s">
        <v>56</v>
      </c>
      <c r="I6" s="196" t="s">
        <v>57</v>
      </c>
      <c r="J6" s="28"/>
      <c r="K6" s="28"/>
      <c r="M6" s="28"/>
      <c r="O6" s="28"/>
      <c r="P6" s="28"/>
      <c r="Q6" s="28"/>
      <c r="R6" s="28"/>
      <c r="S6" s="28"/>
      <c r="T6" s="28"/>
      <c r="U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2:45" s="29" customFormat="1" ht="13.5" thickBot="1" x14ac:dyDescent="0.25">
      <c r="B7" s="1004"/>
      <c r="C7" s="1006"/>
      <c r="D7" s="1006"/>
      <c r="E7" s="1006"/>
      <c r="F7" s="1009" t="s">
        <v>58</v>
      </c>
      <c r="G7" s="192" t="s">
        <v>59</v>
      </c>
      <c r="H7" s="193" t="s">
        <v>52</v>
      </c>
      <c r="I7" s="194" t="s">
        <v>60</v>
      </c>
      <c r="J7" s="28"/>
      <c r="K7" s="28"/>
      <c r="M7" s="28"/>
      <c r="N7" s="34"/>
      <c r="O7" s="34"/>
      <c r="P7" s="34"/>
      <c r="Q7" s="34"/>
      <c r="R7" s="34"/>
      <c r="S7" s="34"/>
      <c r="T7" s="34"/>
      <c r="U7" s="34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2:45" s="29" customFormat="1" ht="15" thickTop="1" x14ac:dyDescent="0.2">
      <c r="B8" s="35">
        <v>30101</v>
      </c>
      <c r="C8" s="36" t="s">
        <v>61</v>
      </c>
      <c r="D8" s="37">
        <f>ROUND((N72)/30*T70,0)</f>
        <v>27578</v>
      </c>
      <c r="E8" s="38">
        <f>ROUND(U98-1,4)</f>
        <v>0.76959999999999995</v>
      </c>
      <c r="F8" s="455">
        <f>ROUND(D8*(1+E8),0)</f>
        <v>48802</v>
      </c>
      <c r="G8" s="39">
        <f>F8+9555</f>
        <v>58357</v>
      </c>
      <c r="H8" s="40">
        <f>T70</f>
        <v>1.2</v>
      </c>
      <c r="I8" s="41">
        <f>U98</f>
        <v>1.7695999999999996</v>
      </c>
      <c r="J8" s="42"/>
      <c r="K8" s="42"/>
      <c r="M8" s="28"/>
      <c r="N8" s="34"/>
      <c r="O8" s="34"/>
      <c r="P8" s="34"/>
      <c r="Q8" s="34"/>
      <c r="R8" s="34"/>
      <c r="S8" s="34"/>
      <c r="T8" s="34"/>
      <c r="U8" s="34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2:45" s="29" customFormat="1" x14ac:dyDescent="0.2">
      <c r="B9" s="43">
        <v>30102</v>
      </c>
      <c r="C9" s="44" t="s">
        <v>62</v>
      </c>
      <c r="D9" s="45">
        <f>ROUND(N72/30*V70,0)</f>
        <v>34473</v>
      </c>
      <c r="E9" s="46">
        <f>ROUND(W98-1,4)</f>
        <v>0.73170000000000002</v>
      </c>
      <c r="F9" s="456">
        <f t="shared" ref="F9:F15" si="0">ROUND(D9*(1+E9),0)</f>
        <v>59697</v>
      </c>
      <c r="G9" s="48">
        <f t="shared" ref="G9:G24" si="1">F9+9555</f>
        <v>69252</v>
      </c>
      <c r="H9" s="49">
        <f>V70</f>
        <v>1.5</v>
      </c>
      <c r="I9" s="50">
        <f>W98</f>
        <v>1.7316999999999998</v>
      </c>
      <c r="J9" s="28"/>
      <c r="K9" s="28"/>
      <c r="M9" s="28"/>
      <c r="N9" s="34"/>
      <c r="O9" s="34"/>
      <c r="P9" s="34"/>
      <c r="Q9" s="34"/>
      <c r="R9" s="34"/>
      <c r="S9" s="34"/>
      <c r="T9" s="34"/>
      <c r="U9" s="34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2:45" s="29" customFormat="1" x14ac:dyDescent="0.2">
      <c r="B10" s="43">
        <v>30103</v>
      </c>
      <c r="C10" s="44" t="s">
        <v>63</v>
      </c>
      <c r="D10" s="45">
        <f>ROUND(N72/30*X70,0)</f>
        <v>37920</v>
      </c>
      <c r="E10" s="46">
        <f>ROUND(Y98-1,4)</f>
        <v>0.71799999999999997</v>
      </c>
      <c r="F10" s="456">
        <f t="shared" si="0"/>
        <v>65147</v>
      </c>
      <c r="G10" s="48">
        <f t="shared" si="1"/>
        <v>74702</v>
      </c>
      <c r="H10" s="49">
        <f>X70</f>
        <v>1.65</v>
      </c>
      <c r="I10" s="50">
        <f>Y98</f>
        <v>1.7179999999999993</v>
      </c>
      <c r="J10" s="28"/>
      <c r="K10" s="28"/>
      <c r="M10" s="28"/>
      <c r="N10" s="34"/>
      <c r="O10" s="34"/>
      <c r="P10" s="34"/>
      <c r="Q10" s="34"/>
      <c r="R10" s="34"/>
      <c r="S10" s="34"/>
      <c r="T10" s="34"/>
      <c r="U10" s="34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2:45" s="29" customFormat="1" x14ac:dyDescent="0.2">
      <c r="B11" s="43">
        <v>30104</v>
      </c>
      <c r="C11" s="44" t="s">
        <v>64</v>
      </c>
      <c r="D11" s="45">
        <f>ROUND(N72/30*Z70,0)</f>
        <v>39644</v>
      </c>
      <c r="E11" s="46">
        <f>ROUND(AA98-1,4)</f>
        <v>0.71209999999999996</v>
      </c>
      <c r="F11" s="456">
        <f>ROUND(D11*(1+E11),0)</f>
        <v>67874</v>
      </c>
      <c r="G11" s="48">
        <f t="shared" si="1"/>
        <v>77429</v>
      </c>
      <c r="H11" s="49">
        <f>Z70</f>
        <v>1.7250000000000001</v>
      </c>
      <c r="I11" s="50">
        <f>AA98</f>
        <v>1.7120999999999997</v>
      </c>
      <c r="J11" s="28"/>
      <c r="K11" s="28"/>
      <c r="M11" s="28"/>
      <c r="N11" s="34"/>
      <c r="O11" s="34"/>
      <c r="P11" s="34"/>
      <c r="Q11" s="34"/>
      <c r="R11" s="34"/>
      <c r="S11" s="34"/>
      <c r="T11" s="34"/>
      <c r="U11" s="34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2:45" s="29" customFormat="1" x14ac:dyDescent="0.2">
      <c r="B12" s="43">
        <v>30105</v>
      </c>
      <c r="C12" s="44" t="s">
        <v>65</v>
      </c>
      <c r="D12" s="45">
        <f>ROUND(N72/30*V70,0)</f>
        <v>34473</v>
      </c>
      <c r="E12" s="46">
        <f>ROUND(W98-1,4)</f>
        <v>0.73170000000000002</v>
      </c>
      <c r="F12" s="456">
        <f t="shared" si="0"/>
        <v>59697</v>
      </c>
      <c r="G12" s="48">
        <f t="shared" si="1"/>
        <v>69252</v>
      </c>
      <c r="H12" s="49">
        <f>V70</f>
        <v>1.5</v>
      </c>
      <c r="I12" s="50">
        <f>W98</f>
        <v>1.7316999999999998</v>
      </c>
      <c r="J12" s="28"/>
      <c r="K12" s="28"/>
      <c r="M12" s="28"/>
      <c r="N12" s="34"/>
      <c r="O12" s="34"/>
      <c r="P12" s="34"/>
      <c r="Q12" s="34"/>
      <c r="R12" s="34"/>
      <c r="S12" s="34"/>
      <c r="T12" s="34"/>
      <c r="U12" s="34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2:45" s="29" customFormat="1" x14ac:dyDescent="0.2">
      <c r="B13" s="51">
        <v>30106</v>
      </c>
      <c r="C13" s="52" t="s">
        <v>66</v>
      </c>
      <c r="D13" s="53">
        <f>ROUND(D8*AF70,0)</f>
        <v>60672</v>
      </c>
      <c r="E13" s="54">
        <f>ROUND(AG98-1,4)</f>
        <v>0.59750000000000003</v>
      </c>
      <c r="F13" s="456">
        <f t="shared" si="0"/>
        <v>96924</v>
      </c>
      <c r="G13" s="53">
        <f t="shared" si="1"/>
        <v>106479</v>
      </c>
      <c r="H13" s="55">
        <f>AF70</f>
        <v>2.2000000000000002</v>
      </c>
      <c r="I13" s="56">
        <f>AG98</f>
        <v>1.5974999999999999</v>
      </c>
      <c r="J13" s="28"/>
      <c r="K13" s="28"/>
      <c r="M13" s="28"/>
      <c r="N13" s="34"/>
      <c r="O13" s="34"/>
      <c r="P13" s="34"/>
      <c r="Q13" s="34"/>
      <c r="R13" s="34"/>
      <c r="S13" s="34"/>
      <c r="T13" s="34"/>
      <c r="U13" s="34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2:45" s="29" customFormat="1" x14ac:dyDescent="0.2">
      <c r="B14" s="43">
        <v>30107</v>
      </c>
      <c r="C14" s="44" t="s">
        <v>67</v>
      </c>
      <c r="D14" s="45">
        <f>ROUND(D8*AH70,0)</f>
        <v>66739</v>
      </c>
      <c r="E14" s="46">
        <f>ROUND(AI98-1,4)</f>
        <v>0.59599999999999997</v>
      </c>
      <c r="F14" s="456">
        <f t="shared" si="0"/>
        <v>106515</v>
      </c>
      <c r="G14" s="48">
        <f t="shared" si="1"/>
        <v>116070</v>
      </c>
      <c r="H14" s="49">
        <f>AH70</f>
        <v>2.4200000000000004</v>
      </c>
      <c r="I14" s="50">
        <f>AI98</f>
        <v>1.5960000000000001</v>
      </c>
      <c r="J14" s="28"/>
      <c r="K14" s="28"/>
      <c r="M14" s="28"/>
      <c r="O14" s="34"/>
      <c r="P14" s="34"/>
      <c r="Q14" s="34"/>
      <c r="R14" s="34"/>
      <c r="S14" s="34"/>
      <c r="T14" s="34"/>
      <c r="U14" s="34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2:45" s="29" customFormat="1" x14ac:dyDescent="0.2">
      <c r="B15" s="43">
        <v>30108</v>
      </c>
      <c r="C15" s="44" t="s">
        <v>68</v>
      </c>
      <c r="D15" s="45">
        <f>ROUND(D8*AL70,0)</f>
        <v>69772</v>
      </c>
      <c r="E15" s="46">
        <f>ROUND(AM98-1,4)</f>
        <v>0.59519999999999995</v>
      </c>
      <c r="F15" s="456">
        <f t="shared" si="0"/>
        <v>111300</v>
      </c>
      <c r="G15" s="48">
        <f t="shared" si="1"/>
        <v>120855</v>
      </c>
      <c r="H15" s="49">
        <f>AL70</f>
        <v>2.5299999999999998</v>
      </c>
      <c r="I15" s="50">
        <f>AM98</f>
        <v>1.5952</v>
      </c>
      <c r="J15" s="28"/>
      <c r="K15" s="28"/>
      <c r="M15" s="28"/>
      <c r="N15" s="34"/>
      <c r="O15" s="34"/>
      <c r="P15" s="34"/>
      <c r="Q15" s="34"/>
      <c r="R15" s="34"/>
      <c r="S15" s="34"/>
      <c r="T15" s="34"/>
      <c r="U15" s="34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2:45" s="29" customFormat="1" x14ac:dyDescent="0.2">
      <c r="B16" s="43">
        <v>30109</v>
      </c>
      <c r="C16" s="44" t="s">
        <v>69</v>
      </c>
      <c r="D16" s="45">
        <f>ROUND(D8*AN70,0)</f>
        <v>72806</v>
      </c>
      <c r="E16" s="46">
        <f>ROUND(AO98-1,4)</f>
        <v>0.59460000000000002</v>
      </c>
      <c r="F16" s="456">
        <f>ROUND(D16*(1+E16),0)</f>
        <v>116096</v>
      </c>
      <c r="G16" s="48">
        <f t="shared" si="1"/>
        <v>125651</v>
      </c>
      <c r="H16" s="49">
        <f>AN70</f>
        <v>2.64</v>
      </c>
      <c r="I16" s="50">
        <f>AO98</f>
        <v>1.5946</v>
      </c>
      <c r="J16" s="28"/>
      <c r="K16" s="28"/>
      <c r="M16" s="28"/>
      <c r="N16" s="34"/>
      <c r="O16" s="34"/>
      <c r="P16" s="34"/>
      <c r="Q16" s="34"/>
      <c r="R16" s="34"/>
      <c r="S16" s="34"/>
      <c r="T16" s="34"/>
      <c r="U16" s="34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2:45" s="29" customFormat="1" x14ac:dyDescent="0.2">
      <c r="B17" s="43">
        <v>30110</v>
      </c>
      <c r="C17" s="44" t="s">
        <v>70</v>
      </c>
      <c r="D17" s="45">
        <f>ROUND(D8*AJ70,0)</f>
        <v>68945</v>
      </c>
      <c r="E17" s="46">
        <f>ROUND(AK98-1,4)</f>
        <v>0.59550000000000003</v>
      </c>
      <c r="F17" s="456">
        <f t="shared" ref="F17:F24" si="2">ROUND(D17*(1+E17),0)</f>
        <v>110002</v>
      </c>
      <c r="G17" s="48">
        <f t="shared" si="1"/>
        <v>119557</v>
      </c>
      <c r="H17" s="49">
        <f>AJ70</f>
        <v>2.5</v>
      </c>
      <c r="I17" s="50">
        <f>AK98</f>
        <v>1.5955000000000001</v>
      </c>
      <c r="J17" s="28"/>
      <c r="K17" s="28"/>
      <c r="M17" s="28"/>
      <c r="N17" s="34"/>
      <c r="O17" s="34"/>
      <c r="P17" s="34"/>
      <c r="Q17" s="34"/>
      <c r="R17" s="34"/>
      <c r="S17" s="34"/>
      <c r="T17" s="34"/>
      <c r="U17" s="34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2:45" s="29" customFormat="1" x14ac:dyDescent="0.2">
      <c r="B18" s="43">
        <v>30111</v>
      </c>
      <c r="C18" s="44" t="s">
        <v>71</v>
      </c>
      <c r="D18" s="45">
        <f>ROUND(D8*AJ70,0)</f>
        <v>68945</v>
      </c>
      <c r="E18" s="46">
        <f>ROUND(AK98-1,4)</f>
        <v>0.59550000000000003</v>
      </c>
      <c r="F18" s="456">
        <f t="shared" si="2"/>
        <v>110002</v>
      </c>
      <c r="G18" s="48">
        <f t="shared" si="1"/>
        <v>119557</v>
      </c>
      <c r="H18" s="49">
        <f>AJ70</f>
        <v>2.5</v>
      </c>
      <c r="I18" s="50">
        <f>AK98</f>
        <v>1.5955000000000001</v>
      </c>
      <c r="J18" s="28"/>
      <c r="K18" s="28"/>
      <c r="M18" s="28"/>
      <c r="N18" s="34"/>
      <c r="O18" s="28"/>
      <c r="P18" s="28"/>
      <c r="Q18" s="28"/>
      <c r="R18" s="28"/>
      <c r="S18" s="28"/>
      <c r="T18" s="28"/>
      <c r="U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2:45" s="29" customFormat="1" x14ac:dyDescent="0.2">
      <c r="B19" s="43">
        <v>30112</v>
      </c>
      <c r="C19" s="44" t="s">
        <v>72</v>
      </c>
      <c r="D19" s="45">
        <f>ROUND(D8*AR70,0)</f>
        <v>88250</v>
      </c>
      <c r="E19" s="46">
        <f>ROUND(AS98-1,4)</f>
        <v>0.59209999999999996</v>
      </c>
      <c r="F19" s="456">
        <f t="shared" si="2"/>
        <v>140503</v>
      </c>
      <c r="G19" s="48">
        <f t="shared" si="1"/>
        <v>150058</v>
      </c>
      <c r="H19" s="49">
        <f>AR70</f>
        <v>3.2</v>
      </c>
      <c r="I19" s="50">
        <f>AS98</f>
        <v>1.5920999999999998</v>
      </c>
      <c r="J19" s="28"/>
      <c r="K19" s="28"/>
      <c r="M19" s="28"/>
      <c r="N19" s="34"/>
      <c r="O19" s="34"/>
      <c r="P19" s="34"/>
      <c r="Q19" s="34"/>
      <c r="R19" s="34"/>
      <c r="S19" s="34"/>
      <c r="T19" s="34"/>
      <c r="U19" s="34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2:45" s="29" customFormat="1" x14ac:dyDescent="0.2">
      <c r="B20" s="51">
        <v>30113</v>
      </c>
      <c r="C20" s="52" t="s">
        <v>73</v>
      </c>
      <c r="D20" s="53">
        <f>ROUND(D8*AR70,0)</f>
        <v>88250</v>
      </c>
      <c r="E20" s="54">
        <f>ROUND(AS98-1,4)</f>
        <v>0.59209999999999996</v>
      </c>
      <c r="F20" s="456">
        <f t="shared" si="2"/>
        <v>140503</v>
      </c>
      <c r="G20" s="53">
        <f t="shared" si="1"/>
        <v>150058</v>
      </c>
      <c r="H20" s="55">
        <f>AR70</f>
        <v>3.2</v>
      </c>
      <c r="I20" s="56">
        <f>AS98</f>
        <v>1.5920999999999998</v>
      </c>
      <c r="J20" s="28"/>
      <c r="K20" s="28"/>
      <c r="M20" s="28"/>
      <c r="N20" s="34"/>
      <c r="O20" s="34"/>
      <c r="P20" s="34"/>
      <c r="Q20" s="34"/>
      <c r="R20" s="34"/>
      <c r="S20" s="34"/>
      <c r="T20" s="34"/>
      <c r="U20" s="34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2:45" s="29" customFormat="1" x14ac:dyDescent="0.2">
      <c r="B21" s="51">
        <v>30114</v>
      </c>
      <c r="C21" s="52" t="s">
        <v>74</v>
      </c>
      <c r="D21" s="53">
        <f>ROUND(D8*AB70,0)</f>
        <v>49640</v>
      </c>
      <c r="E21" s="54">
        <f>ROUND(AC98-1,4)</f>
        <v>0.70630000000000004</v>
      </c>
      <c r="F21" s="456">
        <f t="shared" si="2"/>
        <v>84701</v>
      </c>
      <c r="G21" s="53">
        <f t="shared" si="1"/>
        <v>94256</v>
      </c>
      <c r="H21" s="55">
        <f>AB70</f>
        <v>1.8</v>
      </c>
      <c r="I21" s="56">
        <f>AC98</f>
        <v>1.7062999999999999</v>
      </c>
      <c r="J21" s="28"/>
      <c r="K21" s="28"/>
      <c r="M21" s="28"/>
      <c r="N21" s="34"/>
      <c r="O21" s="34"/>
      <c r="P21" s="34"/>
      <c r="Q21" s="34"/>
      <c r="R21" s="34"/>
      <c r="S21" s="34"/>
      <c r="T21" s="34"/>
      <c r="U21" s="34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2:45" s="29" customFormat="1" ht="15" thickBot="1" x14ac:dyDescent="0.25">
      <c r="B22" s="43">
        <v>30115</v>
      </c>
      <c r="C22" s="44" t="s">
        <v>75</v>
      </c>
      <c r="D22" s="45">
        <f>ROUND(D8*AB70,0)</f>
        <v>49640</v>
      </c>
      <c r="E22" s="46">
        <f>ROUND(AC98-1,4)</f>
        <v>0.70630000000000004</v>
      </c>
      <c r="F22" s="456">
        <f t="shared" si="2"/>
        <v>84701</v>
      </c>
      <c r="G22" s="48">
        <f t="shared" si="1"/>
        <v>94256</v>
      </c>
      <c r="H22" s="49">
        <f>AB70</f>
        <v>1.8</v>
      </c>
      <c r="I22" s="50">
        <f>AC98</f>
        <v>1.7062999999999999</v>
      </c>
      <c r="J22" s="28"/>
      <c r="K22" s="28"/>
      <c r="M22" s="28"/>
      <c r="N22" s="34"/>
      <c r="O22" s="34"/>
      <c r="P22" s="34"/>
      <c r="Q22" s="34"/>
      <c r="R22" s="34"/>
      <c r="S22" s="34"/>
      <c r="T22" s="34"/>
      <c r="U22" s="34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2:45" s="29" customFormat="1" ht="15" thickBot="1" x14ac:dyDescent="0.25">
      <c r="B23" s="43">
        <v>30116</v>
      </c>
      <c r="C23" s="44" t="s">
        <v>76</v>
      </c>
      <c r="D23" s="45">
        <f>ROUND(D8*AD70,0)</f>
        <v>55156</v>
      </c>
      <c r="E23" s="46">
        <f>ROUND(AE98-1,4)</f>
        <v>0.69389999999999996</v>
      </c>
      <c r="F23" s="456">
        <f t="shared" si="2"/>
        <v>93429</v>
      </c>
      <c r="G23" s="48">
        <f t="shared" si="1"/>
        <v>102984</v>
      </c>
      <c r="H23" s="49">
        <f>AD70</f>
        <v>2</v>
      </c>
      <c r="I23" s="50">
        <f>AE98</f>
        <v>1.6938999999999997</v>
      </c>
      <c r="J23" s="28"/>
      <c r="K23" s="1010" t="s">
        <v>536</v>
      </c>
      <c r="L23" s="1011"/>
      <c r="M23" s="1011"/>
      <c r="N23" s="1012"/>
      <c r="O23" s="34"/>
      <c r="P23" s="34"/>
      <c r="Q23" s="34"/>
      <c r="R23" s="34"/>
      <c r="S23" s="34"/>
      <c r="T23" s="34"/>
      <c r="U23" s="34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2:45" s="29" customFormat="1" x14ac:dyDescent="0.2">
      <c r="B24" s="43">
        <v>30117</v>
      </c>
      <c r="C24" s="44" t="s">
        <v>77</v>
      </c>
      <c r="D24" s="45">
        <f>ROUND(D8*V70,0)</f>
        <v>41367</v>
      </c>
      <c r="E24" s="46">
        <f>ROUND(W98-1,4)</f>
        <v>0.73170000000000002</v>
      </c>
      <c r="F24" s="456">
        <f t="shared" si="2"/>
        <v>71635</v>
      </c>
      <c r="G24" s="57">
        <f t="shared" si="1"/>
        <v>81190</v>
      </c>
      <c r="H24" s="49">
        <f>V70</f>
        <v>1.5</v>
      </c>
      <c r="I24" s="50">
        <f>W98</f>
        <v>1.7316999999999998</v>
      </c>
      <c r="J24" s="42"/>
      <c r="K24" s="58" t="s">
        <v>78</v>
      </c>
      <c r="L24" s="59"/>
      <c r="M24" s="60"/>
      <c r="N24" s="61">
        <v>689454</v>
      </c>
      <c r="O24" s="34"/>
      <c r="P24" s="34"/>
      <c r="Q24" s="34"/>
      <c r="R24" s="34"/>
      <c r="S24" s="34"/>
      <c r="T24" s="34"/>
      <c r="U24" s="34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2:45" s="29" customFormat="1" x14ac:dyDescent="0.2">
      <c r="B25" s="43">
        <v>30118</v>
      </c>
      <c r="C25" s="44" t="s">
        <v>79</v>
      </c>
      <c r="D25" s="45">
        <f>ROUND(D8*7,0)</f>
        <v>193046</v>
      </c>
      <c r="E25" s="44"/>
      <c r="F25" s="457"/>
      <c r="G25" s="62"/>
      <c r="H25" s="63"/>
      <c r="I25" s="64"/>
      <c r="J25" s="28"/>
      <c r="K25" s="65" t="s">
        <v>80</v>
      </c>
      <c r="L25" s="233"/>
      <c r="M25" s="66"/>
      <c r="N25" s="67">
        <v>77700</v>
      </c>
      <c r="O25" s="34"/>
      <c r="P25" s="34"/>
      <c r="Q25" s="34"/>
      <c r="R25" s="34"/>
      <c r="S25" s="34"/>
      <c r="T25" s="34"/>
      <c r="U25" s="34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2:45" s="29" customFormat="1" x14ac:dyDescent="0.2">
      <c r="B26" s="43">
        <v>30119</v>
      </c>
      <c r="C26" s="44" t="s">
        <v>81</v>
      </c>
      <c r="D26" s="45">
        <f>ROUND(D8+D13,0)</f>
        <v>88250</v>
      </c>
      <c r="E26" s="46">
        <f>ROUND((E8+E13)/2,4)</f>
        <v>0.68359999999999999</v>
      </c>
      <c r="F26" s="456">
        <f>ROUND(F8+F13,0)</f>
        <v>145726</v>
      </c>
      <c r="G26" s="47">
        <f>F26+(9555*2)</f>
        <v>164836</v>
      </c>
      <c r="H26" s="63"/>
      <c r="I26" s="64"/>
      <c r="J26" s="28"/>
      <c r="K26" s="65" t="s">
        <v>82</v>
      </c>
      <c r="L26" s="233"/>
      <c r="M26" s="66"/>
      <c r="N26" s="67">
        <f>ROUND(N24/30/8,0)</f>
        <v>2873</v>
      </c>
      <c r="O26" s="34"/>
      <c r="P26" s="34"/>
      <c r="Q26" s="34"/>
      <c r="R26" s="34"/>
      <c r="S26" s="34"/>
      <c r="T26" s="34"/>
      <c r="U26" s="34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2:45" s="29" customFormat="1" x14ac:dyDescent="0.2">
      <c r="B27" s="43">
        <v>30120</v>
      </c>
      <c r="C27" s="44" t="s">
        <v>83</v>
      </c>
      <c r="D27" s="45">
        <f>ROUND(D9+D14,0)</f>
        <v>101212</v>
      </c>
      <c r="E27" s="46">
        <f>ROUND((E9+E14)/2,4)</f>
        <v>0.66390000000000005</v>
      </c>
      <c r="F27" s="456">
        <f>ROUND(F9+F14,0)</f>
        <v>166212</v>
      </c>
      <c r="G27" s="47">
        <f>F27+(9555*2)</f>
        <v>185322</v>
      </c>
      <c r="H27" s="63"/>
      <c r="I27" s="64"/>
      <c r="J27" s="28"/>
      <c r="K27" s="65" t="s">
        <v>84</v>
      </c>
      <c r="L27" s="233"/>
      <c r="M27" s="66"/>
      <c r="N27" s="67">
        <f>ROUND(N26*1.35,0)</f>
        <v>3879</v>
      </c>
      <c r="O27" s="34"/>
      <c r="P27" s="34"/>
      <c r="Q27" s="34"/>
      <c r="R27" s="34"/>
      <c r="S27" s="34"/>
      <c r="T27" s="34"/>
      <c r="U27" s="34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2:45" s="29" customFormat="1" x14ac:dyDescent="0.2">
      <c r="B28" s="43">
        <v>30121</v>
      </c>
      <c r="C28" s="44" t="s">
        <v>85</v>
      </c>
      <c r="D28" s="45">
        <f>ROUND(D10+D15,0)</f>
        <v>107692</v>
      </c>
      <c r="E28" s="46">
        <f>ROUND((E10+E15)/2,4)</f>
        <v>0.65659999999999996</v>
      </c>
      <c r="F28" s="456">
        <f>ROUND(F10+F15,0)</f>
        <v>176447</v>
      </c>
      <c r="G28" s="47">
        <f>F28+(9555*2)</f>
        <v>195557</v>
      </c>
      <c r="H28" s="63"/>
      <c r="I28" s="64"/>
      <c r="J28" s="28"/>
      <c r="K28" s="65" t="s">
        <v>86</v>
      </c>
      <c r="L28" s="233"/>
      <c r="M28" s="66"/>
      <c r="N28" s="67">
        <f>ROUND(N26*1.75,0)</f>
        <v>5028</v>
      </c>
      <c r="O28" s="34"/>
      <c r="P28" s="34"/>
      <c r="Q28" s="34"/>
      <c r="R28" s="34"/>
      <c r="S28" s="34"/>
      <c r="T28" s="34"/>
      <c r="U28" s="34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2:45" s="29" customFormat="1" x14ac:dyDescent="0.2">
      <c r="B29" s="43">
        <v>30122</v>
      </c>
      <c r="C29" s="44" t="s">
        <v>87</v>
      </c>
      <c r="D29" s="45">
        <f>ROUND(D11+D16,0)</f>
        <v>112450</v>
      </c>
      <c r="E29" s="46">
        <f>ROUND((E11+E16)/2,4)</f>
        <v>0.65339999999999998</v>
      </c>
      <c r="F29" s="456">
        <f>ROUND(F11+F16,0)</f>
        <v>183970</v>
      </c>
      <c r="G29" s="47">
        <f>F29+(9555*2)</f>
        <v>203080</v>
      </c>
      <c r="H29" s="63"/>
      <c r="I29" s="64"/>
      <c r="J29" s="28"/>
      <c r="K29" s="65" t="s">
        <v>88</v>
      </c>
      <c r="L29" s="233"/>
      <c r="M29" s="66"/>
      <c r="N29" s="67">
        <f>ROUND(N26*2.1,0)</f>
        <v>6033</v>
      </c>
      <c r="O29" s="34"/>
      <c r="P29" s="34"/>
      <c r="Q29" s="34"/>
      <c r="R29" s="34"/>
      <c r="S29" s="34"/>
      <c r="T29" s="34"/>
      <c r="U29" s="34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2:45" s="29" customFormat="1" x14ac:dyDescent="0.2">
      <c r="B30" s="43">
        <v>30123</v>
      </c>
      <c r="C30" s="44" t="s">
        <v>89</v>
      </c>
      <c r="D30" s="45">
        <f>ROUND((D8+D12+D13),0)</f>
        <v>122723</v>
      </c>
      <c r="E30" s="46">
        <f>ROUND((E8+E12+E13)/3,4)</f>
        <v>0.6996</v>
      </c>
      <c r="F30" s="456">
        <f>ROUND((F8+F12+F13),0)</f>
        <v>205423</v>
      </c>
      <c r="G30" s="47">
        <f>F30+(9555*3)</f>
        <v>234088</v>
      </c>
      <c r="H30" s="63"/>
      <c r="I30" s="64"/>
      <c r="J30" s="28"/>
      <c r="K30" s="65" t="s">
        <v>90</v>
      </c>
      <c r="L30" s="233"/>
      <c r="M30" s="66"/>
      <c r="N30" s="67">
        <f>ROUND(N26*1.25,0)</f>
        <v>3591</v>
      </c>
      <c r="O30" s="34"/>
      <c r="P30" s="34"/>
      <c r="Q30" s="34"/>
      <c r="R30" s="34"/>
      <c r="S30" s="34"/>
      <c r="T30" s="34"/>
      <c r="U30" s="34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2:45" s="29" customFormat="1" x14ac:dyDescent="0.2">
      <c r="B31" s="43">
        <v>30124</v>
      </c>
      <c r="C31" s="44" t="s">
        <v>91</v>
      </c>
      <c r="D31" s="45">
        <f>ROUND((D8+D21+D20),0)</f>
        <v>165468</v>
      </c>
      <c r="E31" s="46">
        <f>ROUND((E9+E13+E14)/3,4)</f>
        <v>0.64170000000000005</v>
      </c>
      <c r="F31" s="456">
        <f>ROUND((F8+F21+F20),0)</f>
        <v>274006</v>
      </c>
      <c r="G31" s="47">
        <f>F31+(9555*3)</f>
        <v>302671</v>
      </c>
      <c r="H31" s="63"/>
      <c r="I31" s="64"/>
      <c r="J31" s="28"/>
      <c r="K31" s="65" t="s">
        <v>92</v>
      </c>
      <c r="L31" s="233"/>
      <c r="M31" s="66"/>
      <c r="N31" s="67">
        <f>ROUND(N26*1.75,0)</f>
        <v>5028</v>
      </c>
      <c r="O31" s="34"/>
      <c r="P31" s="34"/>
      <c r="Q31" s="34"/>
      <c r="R31" s="34"/>
      <c r="S31" s="34"/>
      <c r="T31" s="34"/>
      <c r="U31" s="34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2:45" s="29" customFormat="1" x14ac:dyDescent="0.2">
      <c r="B32" s="43">
        <v>30125</v>
      </c>
      <c r="C32" s="44" t="s">
        <v>93</v>
      </c>
      <c r="D32" s="45">
        <f>ROUND((3*D8+D13),0)</f>
        <v>143406</v>
      </c>
      <c r="E32" s="46">
        <f>ROUND((E10+E14+E15)/3,4)</f>
        <v>0.63639999999999997</v>
      </c>
      <c r="F32" s="456">
        <f>ROUND((3*F8+F13),0)</f>
        <v>243330</v>
      </c>
      <c r="G32" s="47">
        <f>F32+(9555*4)</f>
        <v>281550</v>
      </c>
      <c r="H32" s="63"/>
      <c r="I32" s="64"/>
      <c r="J32" s="28"/>
      <c r="K32" s="65" t="s">
        <v>94</v>
      </c>
      <c r="L32" s="233"/>
      <c r="M32" s="66"/>
      <c r="N32" s="67">
        <f>ROUND(N26*2,0)</f>
        <v>5746</v>
      </c>
      <c r="O32" s="28"/>
      <c r="P32" s="28"/>
      <c r="Q32" s="28"/>
      <c r="R32" s="28"/>
      <c r="S32" s="28"/>
      <c r="T32" s="28"/>
      <c r="U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2:45" s="29" customFormat="1" ht="15" thickBot="1" x14ac:dyDescent="0.25">
      <c r="B33" s="68">
        <v>30126</v>
      </c>
      <c r="C33" s="69" t="s">
        <v>95</v>
      </c>
      <c r="D33" s="70">
        <f>ROUND((N72)/30*T70,0)</f>
        <v>27578</v>
      </c>
      <c r="E33" s="71">
        <f>ROUND(W98-1,4)</f>
        <v>0.73170000000000002</v>
      </c>
      <c r="F33" s="458">
        <f>ROUND(D8*(1+E8),0)</f>
        <v>48802</v>
      </c>
      <c r="G33" s="72">
        <f>F33+(9555)</f>
        <v>58357</v>
      </c>
      <c r="H33" s="63"/>
      <c r="I33" s="64"/>
      <c r="J33" s="28"/>
      <c r="K33" s="73" t="s">
        <v>96</v>
      </c>
      <c r="L33" s="74"/>
      <c r="M33" s="75"/>
      <c r="N33" s="76">
        <f>ROUND(N26*2.5,0)</f>
        <v>7183</v>
      </c>
      <c r="O33" s="28"/>
      <c r="P33" s="28"/>
      <c r="Q33" s="28"/>
      <c r="R33" s="28"/>
      <c r="S33" s="28"/>
      <c r="T33" s="28"/>
      <c r="U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2:45" ht="15" thickBot="1" x14ac:dyDescent="0.25">
      <c r="B34" s="77"/>
      <c r="C34" s="78" t="s">
        <v>97</v>
      </c>
      <c r="D34" s="79"/>
      <c r="E34" s="80"/>
      <c r="F34" s="459">
        <v>142650</v>
      </c>
      <c r="G34" s="81">
        <f>F34+(9555)</f>
        <v>152205</v>
      </c>
      <c r="H34" s="82"/>
      <c r="I34" s="83"/>
      <c r="J34" s="28"/>
      <c r="K34" s="84"/>
      <c r="L34" s="85"/>
      <c r="M34" s="84"/>
      <c r="N34" s="86"/>
    </row>
    <row r="35" spans="2:45" ht="15" thickTop="1" x14ac:dyDescent="0.2">
      <c r="B35" s="31"/>
      <c r="C35" s="87"/>
      <c r="D35" s="88"/>
      <c r="E35" s="89"/>
      <c r="F35" s="90"/>
      <c r="G35" s="90"/>
      <c r="H35" s="91"/>
      <c r="I35" s="92"/>
      <c r="J35" s="90"/>
      <c r="K35" s="84"/>
      <c r="L35" s="85"/>
      <c r="M35" s="84"/>
      <c r="N35" s="86"/>
    </row>
    <row r="36" spans="2:45" ht="15" thickBot="1" x14ac:dyDescent="0.25">
      <c r="H36" s="91"/>
      <c r="I36" s="92"/>
    </row>
    <row r="37" spans="2:45" ht="17.25" thickTop="1" thickBot="1" x14ac:dyDescent="0.3">
      <c r="F37" s="96"/>
      <c r="G37" s="96"/>
      <c r="H37" s="97"/>
      <c r="I37" s="98"/>
      <c r="J37" s="96"/>
      <c r="K37" s="1013" t="s">
        <v>98</v>
      </c>
      <c r="L37" s="1014"/>
      <c r="M37" s="1015"/>
    </row>
    <row r="38" spans="2:45" ht="15.75" thickTop="1" thickBot="1" x14ac:dyDescent="0.25">
      <c r="F38" s="96"/>
      <c r="G38" s="96"/>
      <c r="H38" s="97"/>
      <c r="I38" s="98"/>
      <c r="J38" s="96"/>
      <c r="K38" s="1016" t="s">
        <v>8</v>
      </c>
      <c r="L38" s="1017"/>
      <c r="M38" s="99" t="s">
        <v>134</v>
      </c>
    </row>
    <row r="39" spans="2:45" ht="15" thickTop="1" x14ac:dyDescent="0.2">
      <c r="F39" s="96"/>
      <c r="G39" s="96"/>
      <c r="H39" s="97"/>
      <c r="I39" s="98"/>
      <c r="J39" s="96"/>
      <c r="K39" s="1018" t="s">
        <v>99</v>
      </c>
      <c r="L39" s="1019"/>
      <c r="M39" s="100">
        <v>8.33</v>
      </c>
    </row>
    <row r="40" spans="2:45" x14ac:dyDescent="0.2">
      <c r="F40" s="96"/>
      <c r="G40" s="96"/>
      <c r="H40" s="97"/>
      <c r="I40" s="98"/>
      <c r="J40" s="96"/>
      <c r="K40" s="984" t="s">
        <v>100</v>
      </c>
      <c r="L40" s="985"/>
      <c r="M40" s="101">
        <v>12</v>
      </c>
    </row>
    <row r="41" spans="2:45" x14ac:dyDescent="0.2">
      <c r="F41" s="96"/>
      <c r="G41" s="96"/>
      <c r="H41" s="97"/>
      <c r="I41" s="98"/>
      <c r="J41" s="96"/>
      <c r="K41" s="984" t="s">
        <v>101</v>
      </c>
      <c r="L41" s="985"/>
      <c r="M41" s="101">
        <v>4.17</v>
      </c>
    </row>
    <row r="42" spans="2:45" x14ac:dyDescent="0.2">
      <c r="F42" s="96"/>
      <c r="G42" s="96"/>
      <c r="H42" s="97"/>
      <c r="I42" s="98"/>
      <c r="J42" s="96"/>
      <c r="K42" s="984" t="s">
        <v>102</v>
      </c>
      <c r="L42" s="985"/>
      <c r="M42" s="101">
        <v>8.33</v>
      </c>
    </row>
    <row r="43" spans="2:45" x14ac:dyDescent="0.2">
      <c r="F43" s="96"/>
      <c r="G43" s="96"/>
      <c r="H43" s="97"/>
      <c r="I43" s="98"/>
      <c r="J43" s="96"/>
      <c r="K43" s="984" t="s">
        <v>103</v>
      </c>
      <c r="L43" s="985"/>
      <c r="M43" s="101">
        <v>11.69</v>
      </c>
    </row>
    <row r="44" spans="2:45" x14ac:dyDescent="0.2">
      <c r="F44" s="96"/>
      <c r="G44" s="96"/>
      <c r="H44" s="97"/>
      <c r="I44" s="98"/>
      <c r="J44" s="96"/>
      <c r="K44" s="984" t="s">
        <v>104</v>
      </c>
      <c r="L44" s="985"/>
      <c r="M44" s="101">
        <v>2</v>
      </c>
    </row>
    <row r="45" spans="2:45" x14ac:dyDescent="0.2">
      <c r="F45" s="96"/>
      <c r="G45" s="96"/>
      <c r="H45" s="97"/>
      <c r="I45" s="98"/>
      <c r="J45" s="96"/>
      <c r="K45" s="984" t="s">
        <v>105</v>
      </c>
      <c r="L45" s="985"/>
      <c r="M45" s="101">
        <v>3</v>
      </c>
    </row>
    <row r="46" spans="2:45" x14ac:dyDescent="0.2">
      <c r="F46" s="96"/>
      <c r="G46" s="96"/>
      <c r="H46" s="97"/>
      <c r="I46" s="98"/>
      <c r="J46" s="96"/>
      <c r="K46" s="984" t="s">
        <v>106</v>
      </c>
      <c r="L46" s="985"/>
      <c r="M46" s="101">
        <v>4</v>
      </c>
    </row>
    <row r="47" spans="2:45" x14ac:dyDescent="0.2">
      <c r="F47" s="96"/>
      <c r="G47" s="96"/>
      <c r="H47" s="97"/>
      <c r="I47" s="98"/>
      <c r="J47" s="96"/>
      <c r="K47" s="984" t="s">
        <v>107</v>
      </c>
      <c r="L47" s="985"/>
      <c r="M47" s="101">
        <v>8.5</v>
      </c>
    </row>
    <row r="48" spans="2:45" x14ac:dyDescent="0.2">
      <c r="F48" s="102"/>
      <c r="G48" s="102"/>
      <c r="H48" s="103"/>
      <c r="I48" s="104"/>
      <c r="J48" s="102"/>
      <c r="K48" s="984" t="s">
        <v>108</v>
      </c>
      <c r="L48" s="985"/>
      <c r="M48" s="101">
        <v>12</v>
      </c>
    </row>
    <row r="49" spans="3:13" x14ac:dyDescent="0.2">
      <c r="F49" s="102"/>
      <c r="G49" s="102"/>
      <c r="H49" s="103"/>
      <c r="I49" s="104"/>
      <c r="J49" s="102"/>
      <c r="K49" s="984" t="s">
        <v>109</v>
      </c>
      <c r="L49" s="985"/>
      <c r="M49" s="101">
        <v>6.96</v>
      </c>
    </row>
    <row r="50" spans="3:13" x14ac:dyDescent="0.2">
      <c r="K50" s="984" t="s">
        <v>110</v>
      </c>
      <c r="L50" s="985"/>
      <c r="M50" s="101">
        <v>3</v>
      </c>
    </row>
    <row r="51" spans="3:13" x14ac:dyDescent="0.2">
      <c r="K51" s="984" t="s">
        <v>111</v>
      </c>
      <c r="L51" s="985"/>
      <c r="M51" s="101">
        <f>1/40*100</f>
        <v>2.5</v>
      </c>
    </row>
    <row r="52" spans="3:13" ht="15" thickBot="1" x14ac:dyDescent="0.25">
      <c r="K52" s="986" t="s">
        <v>112</v>
      </c>
      <c r="L52" s="987"/>
      <c r="M52" s="105">
        <f>SUM(M39:M51)</f>
        <v>86.47999999999999</v>
      </c>
    </row>
    <row r="53" spans="3:13" ht="15" thickTop="1" x14ac:dyDescent="0.2">
      <c r="K53" s="982" t="s">
        <v>117</v>
      </c>
      <c r="L53" s="983"/>
      <c r="M53" s="106">
        <v>0</v>
      </c>
    </row>
    <row r="54" spans="3:13" ht="15" thickBot="1" x14ac:dyDescent="0.25">
      <c r="K54" s="977" t="s">
        <v>118</v>
      </c>
      <c r="L54" s="978"/>
      <c r="M54" s="107">
        <v>0.05</v>
      </c>
    </row>
    <row r="55" spans="3:13" ht="15" thickTop="1" x14ac:dyDescent="0.2">
      <c r="C55" s="85"/>
      <c r="D55" s="85"/>
      <c r="E55" s="108"/>
    </row>
    <row r="56" spans="3:13" x14ac:dyDescent="0.2">
      <c r="G56" s="109"/>
      <c r="H56" s="110"/>
      <c r="I56" s="111"/>
    </row>
    <row r="57" spans="3:13" x14ac:dyDescent="0.2">
      <c r="G57" s="113"/>
      <c r="H57" s="110"/>
      <c r="I57" s="111"/>
    </row>
    <row r="58" spans="3:13" x14ac:dyDescent="0.2">
      <c r="G58" s="86"/>
    </row>
    <row r="59" spans="3:13" x14ac:dyDescent="0.2">
      <c r="G59" s="86"/>
    </row>
    <row r="60" spans="3:13" x14ac:dyDescent="0.2">
      <c r="G60" s="86"/>
    </row>
    <row r="61" spans="3:13" ht="15" thickBot="1" x14ac:dyDescent="0.25">
      <c r="G61" s="86"/>
    </row>
    <row r="62" spans="3:13" ht="15" thickTop="1" x14ac:dyDescent="0.2">
      <c r="C62" s="979" t="s">
        <v>254</v>
      </c>
      <c r="D62" s="980"/>
      <c r="E62" s="980"/>
      <c r="F62" s="980"/>
      <c r="G62" s="981"/>
      <c r="J62" s="86"/>
    </row>
    <row r="63" spans="3:13" x14ac:dyDescent="0.2">
      <c r="C63" s="968" t="s">
        <v>78</v>
      </c>
      <c r="D63" s="969"/>
      <c r="E63" s="233"/>
      <c r="F63" s="66"/>
      <c r="G63" s="112">
        <v>644336</v>
      </c>
      <c r="J63" s="86"/>
    </row>
    <row r="64" spans="3:13" x14ac:dyDescent="0.2">
      <c r="C64" s="968" t="s">
        <v>80</v>
      </c>
      <c r="D64" s="969"/>
      <c r="E64" s="233"/>
      <c r="F64" s="66"/>
      <c r="G64" s="112">
        <v>73240</v>
      </c>
      <c r="J64" s="86"/>
    </row>
    <row r="65" spans="3:45" x14ac:dyDescent="0.2">
      <c r="C65" s="968" t="s">
        <v>82</v>
      </c>
      <c r="D65" s="969"/>
      <c r="E65" s="233"/>
      <c r="F65" s="66"/>
      <c r="G65" s="112">
        <f>ROUND(G63/30/8,0)</f>
        <v>2685</v>
      </c>
      <c r="J65" s="86"/>
    </row>
    <row r="66" spans="3:45" x14ac:dyDescent="0.2">
      <c r="C66" s="968" t="s">
        <v>84</v>
      </c>
      <c r="D66" s="969"/>
      <c r="E66" s="233"/>
      <c r="F66" s="66"/>
      <c r="G66" s="112">
        <f>ROUND(G65*1.35,0)</f>
        <v>3625</v>
      </c>
      <c r="J66" s="86"/>
    </row>
    <row r="67" spans="3:45" x14ac:dyDescent="0.2">
      <c r="C67" s="968" t="s">
        <v>86</v>
      </c>
      <c r="D67" s="969"/>
      <c r="E67" s="233"/>
      <c r="F67" s="66"/>
      <c r="G67" s="112">
        <f>ROUND(G65*1.75,0)</f>
        <v>4699</v>
      </c>
    </row>
    <row r="68" spans="3:45" x14ac:dyDescent="0.2">
      <c r="C68" s="968" t="s">
        <v>88</v>
      </c>
      <c r="D68" s="969"/>
      <c r="E68" s="233"/>
      <c r="F68" s="66"/>
      <c r="G68" s="112">
        <f>ROUND(G65*2.1,0)</f>
        <v>5639</v>
      </c>
      <c r="K68" s="116" t="s">
        <v>113</v>
      </c>
      <c r="L68" s="117"/>
      <c r="M68" s="116"/>
      <c r="N68" s="118" t="s">
        <v>114</v>
      </c>
      <c r="O68" s="119">
        <v>73240</v>
      </c>
      <c r="P68" s="120" t="s">
        <v>115</v>
      </c>
      <c r="Q68" s="121">
        <f>S68*365</f>
        <v>891086.66666666674</v>
      </c>
      <c r="R68" s="233" t="s">
        <v>116</v>
      </c>
      <c r="S68" s="122">
        <f>O68/30</f>
        <v>2441.3333333333335</v>
      </c>
      <c r="T68" s="123"/>
      <c r="U68" s="124"/>
      <c r="AR68" s="125"/>
    </row>
    <row r="69" spans="3:45" x14ac:dyDescent="0.2">
      <c r="C69" s="968" t="s">
        <v>90</v>
      </c>
      <c r="D69" s="969"/>
      <c r="E69" s="233"/>
      <c r="F69" s="66"/>
      <c r="G69" s="112">
        <f>ROUND(G65*1.25,0)</f>
        <v>3356</v>
      </c>
      <c r="K69" s="126"/>
      <c r="L69" s="127"/>
      <c r="M69" s="126"/>
      <c r="N69" s="127"/>
      <c r="O69" s="128"/>
      <c r="P69" s="127"/>
      <c r="Q69" s="128"/>
      <c r="R69" s="127"/>
      <c r="S69" s="128"/>
      <c r="T69" s="128"/>
      <c r="U69" s="128"/>
      <c r="V69" s="129"/>
      <c r="AR69" s="125"/>
    </row>
    <row r="70" spans="3:45" ht="18" x14ac:dyDescent="0.25">
      <c r="C70" s="968" t="s">
        <v>92</v>
      </c>
      <c r="D70" s="969"/>
      <c r="E70" s="233"/>
      <c r="F70" s="66"/>
      <c r="G70" s="112">
        <f>ROUND(G65*1.75,0)</f>
        <v>4699</v>
      </c>
      <c r="J70" s="95"/>
      <c r="K70" s="130" t="s">
        <v>119</v>
      </c>
      <c r="L70" s="131"/>
      <c r="M70" s="131"/>
      <c r="N70" s="973">
        <v>1</v>
      </c>
      <c r="O70" s="974"/>
      <c r="P70" s="973">
        <v>1.1000000000000001</v>
      </c>
      <c r="Q70" s="974"/>
      <c r="R70" s="973">
        <v>1.1499999999999999</v>
      </c>
      <c r="S70" s="974"/>
      <c r="T70" s="973">
        <v>1.2</v>
      </c>
      <c r="U70" s="974"/>
      <c r="V70" s="973">
        <v>1.5</v>
      </c>
      <c r="W70" s="974"/>
      <c r="X70" s="973">
        <v>1.65</v>
      </c>
      <c r="Y70" s="974"/>
      <c r="Z70" s="975">
        <v>1.7250000000000001</v>
      </c>
      <c r="AA70" s="976"/>
      <c r="AB70" s="973">
        <v>1.8</v>
      </c>
      <c r="AC70" s="974"/>
      <c r="AD70" s="966">
        <v>2</v>
      </c>
      <c r="AE70" s="967"/>
      <c r="AF70" s="966">
        <v>2.2000000000000002</v>
      </c>
      <c r="AG70" s="972"/>
      <c r="AH70" s="966">
        <f>2.2*1.1</f>
        <v>2.4200000000000004</v>
      </c>
      <c r="AI70" s="967"/>
      <c r="AJ70" s="972">
        <v>2.5</v>
      </c>
      <c r="AK70" s="967"/>
      <c r="AL70" s="966">
        <f>2.2*1.15</f>
        <v>2.5299999999999998</v>
      </c>
      <c r="AM70" s="967"/>
      <c r="AN70" s="966">
        <v>2.64</v>
      </c>
      <c r="AO70" s="967"/>
      <c r="AP70" s="966">
        <v>3</v>
      </c>
      <c r="AQ70" s="967"/>
      <c r="AR70" s="966">
        <v>3.2</v>
      </c>
      <c r="AS70" s="967"/>
    </row>
    <row r="71" spans="3:45" ht="15.75" thickBot="1" x14ac:dyDescent="0.3">
      <c r="C71" s="968" t="s">
        <v>94</v>
      </c>
      <c r="D71" s="969"/>
      <c r="E71" s="233"/>
      <c r="F71" s="66"/>
      <c r="G71" s="112">
        <f>ROUND(G65*2,0)</f>
        <v>5370</v>
      </c>
      <c r="J71" s="95"/>
      <c r="K71" s="132"/>
      <c r="L71" s="133"/>
      <c r="M71" s="134"/>
      <c r="N71" s="135" t="s">
        <v>120</v>
      </c>
      <c r="O71" s="136" t="s">
        <v>121</v>
      </c>
      <c r="P71" s="135" t="s">
        <v>120</v>
      </c>
      <c r="Q71" s="136" t="s">
        <v>121</v>
      </c>
      <c r="R71" s="135" t="s">
        <v>120</v>
      </c>
      <c r="S71" s="136" t="s">
        <v>121</v>
      </c>
      <c r="T71" s="135" t="s">
        <v>120</v>
      </c>
      <c r="U71" s="136" t="s">
        <v>121</v>
      </c>
      <c r="V71" s="137" t="s">
        <v>122</v>
      </c>
      <c r="W71" s="136" t="s">
        <v>121</v>
      </c>
      <c r="X71" s="137" t="s">
        <v>122</v>
      </c>
      <c r="Y71" s="136" t="s">
        <v>121</v>
      </c>
      <c r="Z71" s="137" t="s">
        <v>122</v>
      </c>
      <c r="AA71" s="136" t="s">
        <v>121</v>
      </c>
      <c r="AB71" s="137" t="s">
        <v>122</v>
      </c>
      <c r="AC71" s="136" t="s">
        <v>121</v>
      </c>
      <c r="AD71" s="138" t="s">
        <v>123</v>
      </c>
      <c r="AE71" s="139" t="s">
        <v>121</v>
      </c>
      <c r="AF71" s="137" t="s">
        <v>122</v>
      </c>
      <c r="AG71" s="136" t="s">
        <v>121</v>
      </c>
      <c r="AH71" s="137" t="s">
        <v>122</v>
      </c>
      <c r="AI71" s="136" t="s">
        <v>121</v>
      </c>
      <c r="AJ71" s="137" t="s">
        <v>122</v>
      </c>
      <c r="AK71" s="136" t="s">
        <v>121</v>
      </c>
      <c r="AL71" s="137" t="s">
        <v>122</v>
      </c>
      <c r="AM71" s="136" t="s">
        <v>121</v>
      </c>
      <c r="AN71" s="137" t="s">
        <v>122</v>
      </c>
      <c r="AO71" s="136" t="s">
        <v>121</v>
      </c>
      <c r="AP71" s="138" t="s">
        <v>123</v>
      </c>
      <c r="AQ71" s="139" t="s">
        <v>121</v>
      </c>
      <c r="AR71" s="138" t="s">
        <v>123</v>
      </c>
      <c r="AS71" s="139" t="s">
        <v>121</v>
      </c>
    </row>
    <row r="72" spans="3:45" ht="16.5" thickTop="1" thickBot="1" x14ac:dyDescent="0.3">
      <c r="C72" s="970" t="s">
        <v>96</v>
      </c>
      <c r="D72" s="971"/>
      <c r="E72" s="234"/>
      <c r="F72" s="114"/>
      <c r="G72" s="115">
        <f>ROUND(G65*2.5,0)</f>
        <v>6713</v>
      </c>
      <c r="K72" s="140" t="s">
        <v>114</v>
      </c>
      <c r="L72" s="141"/>
      <c r="M72" s="142"/>
      <c r="N72" s="143">
        <f>N24</f>
        <v>689454</v>
      </c>
      <c r="O72" s="141" t="s">
        <v>124</v>
      </c>
      <c r="P72" s="143">
        <f>ROUND(N24*P70,0)</f>
        <v>758399</v>
      </c>
      <c r="Q72" s="141" t="s">
        <v>124</v>
      </c>
      <c r="R72" s="143">
        <f>ROUND(N24*R70,0)</f>
        <v>792872</v>
      </c>
      <c r="S72" s="141" t="s">
        <v>124</v>
      </c>
      <c r="T72" s="143">
        <f>ROUND(N24*T70,0)</f>
        <v>827345</v>
      </c>
      <c r="U72" s="141" t="s">
        <v>124</v>
      </c>
      <c r="V72" s="144">
        <f>N24*V70</f>
        <v>1034181</v>
      </c>
      <c r="W72" s="141" t="s">
        <v>124</v>
      </c>
      <c r="X72" s="144">
        <f>N24*X70</f>
        <v>1137599.0999999999</v>
      </c>
      <c r="Y72" s="141" t="s">
        <v>124</v>
      </c>
      <c r="Z72" s="144">
        <f>N24*Z70</f>
        <v>1189308.1500000001</v>
      </c>
      <c r="AA72" s="141" t="s">
        <v>124</v>
      </c>
      <c r="AB72" s="144">
        <f>N24*AB70</f>
        <v>1241017.2</v>
      </c>
      <c r="AC72" s="141" t="s">
        <v>124</v>
      </c>
      <c r="AD72" s="144">
        <f>N24*AD70</f>
        <v>1378908</v>
      </c>
      <c r="AE72" s="141" t="s">
        <v>124</v>
      </c>
      <c r="AF72" s="144">
        <f>N24*AF70</f>
        <v>1516798.8</v>
      </c>
      <c r="AG72" s="141" t="s">
        <v>124</v>
      </c>
      <c r="AH72" s="144">
        <f>N24*AH70</f>
        <v>1668478.6800000002</v>
      </c>
      <c r="AI72" s="141" t="s">
        <v>124</v>
      </c>
      <c r="AJ72" s="144">
        <f>N24*AJ70</f>
        <v>1723635</v>
      </c>
      <c r="AK72" s="141" t="s">
        <v>124</v>
      </c>
      <c r="AL72" s="144">
        <f>N24*AL70</f>
        <v>1744318.6199999999</v>
      </c>
      <c r="AM72" s="141" t="s">
        <v>124</v>
      </c>
      <c r="AN72" s="144">
        <f>N24*AN70</f>
        <v>1820158.56</v>
      </c>
      <c r="AO72" s="141" t="s">
        <v>124</v>
      </c>
      <c r="AP72" s="144">
        <f>N24*AP70</f>
        <v>2068362</v>
      </c>
      <c r="AQ72" s="145" t="s">
        <v>124</v>
      </c>
      <c r="AR72" s="144">
        <f>N24*AR70</f>
        <v>2206252.8000000003</v>
      </c>
      <c r="AS72" s="146" t="s">
        <v>124</v>
      </c>
    </row>
    <row r="73" spans="3:45" ht="15" thickTop="1" x14ac:dyDescent="0.2">
      <c r="K73" s="147" t="s">
        <v>113</v>
      </c>
      <c r="L73" s="148"/>
      <c r="M73" s="149"/>
      <c r="N73" s="150">
        <f>N25</f>
        <v>77700</v>
      </c>
      <c r="O73" s="132" t="s">
        <v>125</v>
      </c>
      <c r="P73" s="150">
        <f>+O68</f>
        <v>73240</v>
      </c>
      <c r="Q73" s="132" t="s">
        <v>125</v>
      </c>
      <c r="R73" s="150">
        <f>+O68</f>
        <v>73240</v>
      </c>
      <c r="S73" s="132" t="s">
        <v>125</v>
      </c>
      <c r="T73" s="150">
        <f>+O68</f>
        <v>73240</v>
      </c>
      <c r="U73" s="132" t="s">
        <v>125</v>
      </c>
      <c r="V73" s="150">
        <f>+O68</f>
        <v>73240</v>
      </c>
      <c r="W73" s="132" t="s">
        <v>125</v>
      </c>
      <c r="X73" s="150">
        <f>+O68</f>
        <v>73240</v>
      </c>
      <c r="Y73" s="132" t="s">
        <v>125</v>
      </c>
      <c r="Z73" s="150">
        <f>+O68</f>
        <v>73240</v>
      </c>
      <c r="AA73" s="132" t="s">
        <v>125</v>
      </c>
      <c r="AB73" s="150">
        <f>+O68</f>
        <v>73240</v>
      </c>
      <c r="AC73" s="132" t="s">
        <v>125</v>
      </c>
      <c r="AD73" s="150">
        <f>+O68</f>
        <v>73240</v>
      </c>
      <c r="AE73" s="132" t="s">
        <v>125</v>
      </c>
      <c r="AF73" s="150">
        <v>0</v>
      </c>
      <c r="AG73" s="132" t="s">
        <v>125</v>
      </c>
      <c r="AH73" s="150">
        <v>0</v>
      </c>
      <c r="AI73" s="132" t="s">
        <v>125</v>
      </c>
      <c r="AJ73" s="150">
        <v>0</v>
      </c>
      <c r="AK73" s="132" t="s">
        <v>125</v>
      </c>
      <c r="AL73" s="150">
        <v>0</v>
      </c>
      <c r="AM73" s="132" t="s">
        <v>125</v>
      </c>
      <c r="AN73" s="150">
        <v>0</v>
      </c>
      <c r="AO73" s="132" t="s">
        <v>125</v>
      </c>
      <c r="AP73" s="150">
        <v>0</v>
      </c>
      <c r="AQ73" s="133" t="s">
        <v>125</v>
      </c>
      <c r="AR73" s="150">
        <v>0</v>
      </c>
      <c r="AS73" s="151" t="s">
        <v>125</v>
      </c>
    </row>
    <row r="74" spans="3:45" ht="15" x14ac:dyDescent="0.25">
      <c r="K74" s="152" t="s">
        <v>126</v>
      </c>
      <c r="L74" s="132"/>
      <c r="M74" s="142"/>
      <c r="N74" s="153">
        <f>SUM(N72:N73)</f>
        <v>767154</v>
      </c>
      <c r="O74" s="154" t="s">
        <v>127</v>
      </c>
      <c r="P74" s="153">
        <f>SUM(P72:P73)</f>
        <v>831639</v>
      </c>
      <c r="Q74" s="154" t="s">
        <v>127</v>
      </c>
      <c r="R74" s="153">
        <f>SUM(R72:R73)</f>
        <v>866112</v>
      </c>
      <c r="S74" s="154" t="s">
        <v>127</v>
      </c>
      <c r="T74" s="153">
        <f>SUM(T72:T73)</f>
        <v>900585</v>
      </c>
      <c r="U74" s="154" t="s">
        <v>127</v>
      </c>
      <c r="V74" s="153">
        <f>SUM(V72:V73)</f>
        <v>1107421</v>
      </c>
      <c r="W74" s="154" t="s">
        <v>127</v>
      </c>
      <c r="X74" s="153">
        <f>SUM(X72:X73)</f>
        <v>1210839.0999999999</v>
      </c>
      <c r="Y74" s="154" t="s">
        <v>127</v>
      </c>
      <c r="Z74" s="153">
        <f>SUM(Z72:Z73)</f>
        <v>1262548.1500000001</v>
      </c>
      <c r="AA74" s="154" t="s">
        <v>127</v>
      </c>
      <c r="AB74" s="153">
        <f>SUM(AB72:AB73)</f>
        <v>1314257.2</v>
      </c>
      <c r="AC74" s="154" t="s">
        <v>127</v>
      </c>
      <c r="AD74" s="153">
        <f>SUM(AD72:AD73)</f>
        <v>1452148</v>
      </c>
      <c r="AE74" s="154" t="s">
        <v>127</v>
      </c>
      <c r="AF74" s="153">
        <f>SUM(AF72:AF73)</f>
        <v>1516798.8</v>
      </c>
      <c r="AG74" s="154" t="s">
        <v>127</v>
      </c>
      <c r="AH74" s="153">
        <f>SUM(AH72:AH73)</f>
        <v>1668478.6800000002</v>
      </c>
      <c r="AI74" s="154" t="s">
        <v>127</v>
      </c>
      <c r="AJ74" s="153">
        <f>SUM(AJ72:AJ73)</f>
        <v>1723635</v>
      </c>
      <c r="AK74" s="154" t="s">
        <v>127</v>
      </c>
      <c r="AL74" s="153">
        <f>SUM(AL72:AL73)</f>
        <v>1744318.6199999999</v>
      </c>
      <c r="AM74" s="154" t="s">
        <v>127</v>
      </c>
      <c r="AN74" s="153">
        <f>SUM(AN72:AN73)</f>
        <v>1820158.56</v>
      </c>
      <c r="AO74" s="154" t="s">
        <v>127</v>
      </c>
      <c r="AP74" s="153">
        <f>SUM(AP72:AP73)</f>
        <v>2068362</v>
      </c>
      <c r="AQ74" s="155" t="s">
        <v>127</v>
      </c>
      <c r="AR74" s="153">
        <f>SUM(AR72:AR73)</f>
        <v>2206252.8000000003</v>
      </c>
      <c r="AS74" s="156" t="s">
        <v>127</v>
      </c>
    </row>
    <row r="75" spans="3:45" ht="15" x14ac:dyDescent="0.25">
      <c r="K75" s="152" t="s">
        <v>115</v>
      </c>
      <c r="L75" s="132"/>
      <c r="M75" s="142"/>
      <c r="N75" s="153">
        <f>(N72/30)*365</f>
        <v>8388357</v>
      </c>
      <c r="O75" s="154" t="s">
        <v>128</v>
      </c>
      <c r="P75" s="153">
        <f>ROUND(P72/30*365,0)</f>
        <v>9227188</v>
      </c>
      <c r="Q75" s="154" t="s">
        <v>128</v>
      </c>
      <c r="R75" s="153">
        <f>ROUND(R72/30*365,0)</f>
        <v>9646609</v>
      </c>
      <c r="S75" s="154" t="s">
        <v>128</v>
      </c>
      <c r="T75" s="153">
        <f>ROUND(T72/30*365,0)</f>
        <v>10066031</v>
      </c>
      <c r="U75" s="154" t="s">
        <v>128</v>
      </c>
      <c r="V75" s="153">
        <f>ROUND(V72/30*365,0)</f>
        <v>12582536</v>
      </c>
      <c r="W75" s="154" t="s">
        <v>128</v>
      </c>
      <c r="X75" s="153">
        <f>ROUND(X72/30*365,0)</f>
        <v>13840789</v>
      </c>
      <c r="Y75" s="154" t="s">
        <v>128</v>
      </c>
      <c r="Z75" s="153">
        <f>ROUND(Z72/30*365,0)</f>
        <v>14469916</v>
      </c>
      <c r="AA75" s="154" t="s">
        <v>128</v>
      </c>
      <c r="AB75" s="153">
        <f>ROUND(AB72/30*365,0)</f>
        <v>15099043</v>
      </c>
      <c r="AC75" s="154" t="s">
        <v>128</v>
      </c>
      <c r="AD75" s="153">
        <f>ROUND(AD72/30*365,0)</f>
        <v>16776714</v>
      </c>
      <c r="AE75" s="154" t="s">
        <v>128</v>
      </c>
      <c r="AF75" s="153">
        <f>ROUND(AF72/30*365,0)</f>
        <v>18454385</v>
      </c>
      <c r="AG75" s="154" t="s">
        <v>128</v>
      </c>
      <c r="AH75" s="153">
        <f>ROUND(AH72/30*365,0)</f>
        <v>20299824</v>
      </c>
      <c r="AI75" s="154" t="s">
        <v>128</v>
      </c>
      <c r="AJ75" s="153">
        <f>ROUND(AJ72/30*365,0)</f>
        <v>20970893</v>
      </c>
      <c r="AK75" s="154" t="s">
        <v>128</v>
      </c>
      <c r="AL75" s="153">
        <f>ROUND(AL72/30*365,0)</f>
        <v>21222543</v>
      </c>
      <c r="AM75" s="154" t="s">
        <v>128</v>
      </c>
      <c r="AN75" s="153">
        <f>ROUND(AN72/30*365,0)</f>
        <v>22145262</v>
      </c>
      <c r="AO75" s="154" t="s">
        <v>128</v>
      </c>
      <c r="AP75" s="153">
        <f>ROUND(AP72/30*365,0)</f>
        <v>25165071</v>
      </c>
      <c r="AQ75" s="155" t="s">
        <v>128</v>
      </c>
      <c r="AR75" s="153">
        <f>ROUND(AR72/30*365,0)</f>
        <v>26842742</v>
      </c>
      <c r="AS75" s="156" t="s">
        <v>128</v>
      </c>
    </row>
    <row r="76" spans="3:45" ht="15" x14ac:dyDescent="0.25">
      <c r="K76" s="152" t="s">
        <v>129</v>
      </c>
      <c r="L76" s="132"/>
      <c r="M76" s="142"/>
      <c r="N76" s="153">
        <f>ROUND(N75+Q68,0)</f>
        <v>9279444</v>
      </c>
      <c r="O76" s="154" t="s">
        <v>130</v>
      </c>
      <c r="P76" s="153">
        <f>ROUND(P75+Q68,0)</f>
        <v>10118275</v>
      </c>
      <c r="Q76" s="154" t="s">
        <v>130</v>
      </c>
      <c r="R76" s="153">
        <f>ROUND(R75+Q68,0)</f>
        <v>10537696</v>
      </c>
      <c r="S76" s="154" t="s">
        <v>130</v>
      </c>
      <c r="T76" s="153">
        <f>ROUND(T75+Q68,0)</f>
        <v>10957118</v>
      </c>
      <c r="U76" s="154" t="s">
        <v>130</v>
      </c>
      <c r="V76" s="153">
        <f>ROUND(V75+Q68,0)</f>
        <v>13473623</v>
      </c>
      <c r="W76" s="154" t="s">
        <v>130</v>
      </c>
      <c r="X76" s="153">
        <f>ROUND(X75+Q68,0)</f>
        <v>14731876</v>
      </c>
      <c r="Y76" s="154" t="s">
        <v>130</v>
      </c>
      <c r="Z76" s="153">
        <f>ROUND(Z75+Q68,0)</f>
        <v>15361003</v>
      </c>
      <c r="AA76" s="154" t="s">
        <v>130</v>
      </c>
      <c r="AB76" s="153">
        <f>ROUND(AB75+Q68,0)</f>
        <v>15990130</v>
      </c>
      <c r="AC76" s="154" t="s">
        <v>130</v>
      </c>
      <c r="AD76" s="153">
        <f>ROUND(AD75+Q68,0)</f>
        <v>17667801</v>
      </c>
      <c r="AE76" s="154" t="s">
        <v>130</v>
      </c>
      <c r="AF76" s="153">
        <f>ROUND(AF75+AF73,0)</f>
        <v>18454385</v>
      </c>
      <c r="AG76" s="154" t="s">
        <v>130</v>
      </c>
      <c r="AH76" s="153">
        <f>ROUND(AH75+AH73,0)</f>
        <v>20299824</v>
      </c>
      <c r="AI76" s="154" t="s">
        <v>130</v>
      </c>
      <c r="AJ76" s="153">
        <f>ROUND(AJ75+AJ73,0)</f>
        <v>20970893</v>
      </c>
      <c r="AK76" s="154" t="s">
        <v>130</v>
      </c>
      <c r="AL76" s="153">
        <f>ROUND(AL75+AL73,0)</f>
        <v>21222543</v>
      </c>
      <c r="AM76" s="154" t="s">
        <v>130</v>
      </c>
      <c r="AN76" s="153">
        <f>ROUND(AN75+AN73,0)</f>
        <v>22145262</v>
      </c>
      <c r="AO76" s="154" t="s">
        <v>130</v>
      </c>
      <c r="AP76" s="153">
        <f>ROUND(AP75+AP73,0)</f>
        <v>25165071</v>
      </c>
      <c r="AQ76" s="155" t="s">
        <v>130</v>
      </c>
      <c r="AR76" s="153">
        <f>ROUND(AR75+AR73,0)</f>
        <v>26842742</v>
      </c>
      <c r="AS76" s="156" t="s">
        <v>130</v>
      </c>
    </row>
    <row r="77" spans="3:45" ht="15" x14ac:dyDescent="0.25">
      <c r="K77" s="117" t="s">
        <v>131</v>
      </c>
      <c r="L77" s="117" t="s">
        <v>132</v>
      </c>
      <c r="M77" s="117" t="s">
        <v>133</v>
      </c>
      <c r="N77" s="157" t="s">
        <v>120</v>
      </c>
      <c r="O77" s="157" t="s">
        <v>134</v>
      </c>
      <c r="P77" s="157" t="s">
        <v>120</v>
      </c>
      <c r="Q77" s="157" t="s">
        <v>134</v>
      </c>
      <c r="R77" s="157" t="s">
        <v>120</v>
      </c>
      <c r="S77" s="157" t="s">
        <v>134</v>
      </c>
      <c r="T77" s="157" t="s">
        <v>120</v>
      </c>
      <c r="U77" s="157" t="s">
        <v>134</v>
      </c>
      <c r="V77" s="157" t="s">
        <v>122</v>
      </c>
      <c r="W77" s="157" t="s">
        <v>134</v>
      </c>
      <c r="X77" s="157" t="s">
        <v>122</v>
      </c>
      <c r="Y77" s="157" t="s">
        <v>134</v>
      </c>
      <c r="Z77" s="157" t="s">
        <v>122</v>
      </c>
      <c r="AA77" s="157" t="s">
        <v>134</v>
      </c>
      <c r="AB77" s="157" t="s">
        <v>122</v>
      </c>
      <c r="AC77" s="157" t="s">
        <v>134</v>
      </c>
      <c r="AD77" s="233" t="s">
        <v>123</v>
      </c>
      <c r="AE77" s="158" t="s">
        <v>134</v>
      </c>
      <c r="AF77" s="233" t="s">
        <v>123</v>
      </c>
      <c r="AG77" s="158" t="s">
        <v>134</v>
      </c>
      <c r="AH77" s="233" t="s">
        <v>123</v>
      </c>
      <c r="AI77" s="158" t="s">
        <v>134</v>
      </c>
      <c r="AJ77" s="233" t="s">
        <v>123</v>
      </c>
      <c r="AK77" s="158" t="s">
        <v>134</v>
      </c>
      <c r="AL77" s="233" t="s">
        <v>123</v>
      </c>
      <c r="AM77" s="158" t="s">
        <v>134</v>
      </c>
      <c r="AN77" s="233" t="s">
        <v>123</v>
      </c>
      <c r="AO77" s="158" t="s">
        <v>134</v>
      </c>
      <c r="AP77" s="233" t="s">
        <v>123</v>
      </c>
      <c r="AQ77" s="159" t="s">
        <v>134</v>
      </c>
      <c r="AR77" s="233" t="s">
        <v>123</v>
      </c>
      <c r="AS77" s="158" t="s">
        <v>134</v>
      </c>
    </row>
    <row r="78" spans="3:45" x14ac:dyDescent="0.2">
      <c r="K78" s="152" t="s">
        <v>135</v>
      </c>
      <c r="L78" s="132"/>
      <c r="M78" s="142"/>
      <c r="N78" s="160">
        <f>N72/30*365</f>
        <v>8388357</v>
      </c>
      <c r="O78" s="161">
        <f>ROUND(N75/N75,4)</f>
        <v>1</v>
      </c>
      <c r="P78" s="160">
        <f>P75</f>
        <v>9227188</v>
      </c>
      <c r="Q78" s="161">
        <f>ROUND(P75/P75,4)</f>
        <v>1</v>
      </c>
      <c r="R78" s="160">
        <f>R75</f>
        <v>9646609</v>
      </c>
      <c r="S78" s="161">
        <f>ROUND(R75/R75,4)</f>
        <v>1</v>
      </c>
      <c r="T78" s="160">
        <f>T75</f>
        <v>10066031</v>
      </c>
      <c r="U78" s="161">
        <f>ROUND(T75/T75,4)</f>
        <v>1</v>
      </c>
      <c r="V78" s="160">
        <f>V75</f>
        <v>12582536</v>
      </c>
      <c r="W78" s="161">
        <f>ROUND(V75/V75,4)</f>
        <v>1</v>
      </c>
      <c r="X78" s="160">
        <f>X75</f>
        <v>13840789</v>
      </c>
      <c r="Y78" s="161">
        <f>ROUND(X75/X75,4)</f>
        <v>1</v>
      </c>
      <c r="Z78" s="160">
        <f>Z75</f>
        <v>14469916</v>
      </c>
      <c r="AA78" s="161">
        <f>ROUND(Z75/Z75,4)</f>
        <v>1</v>
      </c>
      <c r="AB78" s="160">
        <f>AB75</f>
        <v>15099043</v>
      </c>
      <c r="AC78" s="161">
        <f>ROUND(AB75/AB75,4)</f>
        <v>1</v>
      </c>
      <c r="AD78" s="160">
        <f>AD75</f>
        <v>16776714</v>
      </c>
      <c r="AE78" s="161">
        <f>ROUND(AD75/AD75,4)</f>
        <v>1</v>
      </c>
      <c r="AF78" s="160">
        <f>AF75</f>
        <v>18454385</v>
      </c>
      <c r="AG78" s="161">
        <f>ROUND(AF75/AF75,4)</f>
        <v>1</v>
      </c>
      <c r="AH78" s="160">
        <f>AH75</f>
        <v>20299824</v>
      </c>
      <c r="AI78" s="161">
        <f>ROUND(AH75/AH75,4)</f>
        <v>1</v>
      </c>
      <c r="AJ78" s="160">
        <f>AJ75</f>
        <v>20970893</v>
      </c>
      <c r="AK78" s="161">
        <f>ROUND(AJ75/AJ75,4)</f>
        <v>1</v>
      </c>
      <c r="AL78" s="160">
        <f>AL75</f>
        <v>21222543</v>
      </c>
      <c r="AM78" s="161">
        <f>ROUND(AL75/AL75,4)</f>
        <v>1</v>
      </c>
      <c r="AN78" s="160">
        <f>AN75</f>
        <v>22145262</v>
      </c>
      <c r="AO78" s="161">
        <f>ROUND(AN75/AN75,4)</f>
        <v>1</v>
      </c>
      <c r="AP78" s="160">
        <f>AP75</f>
        <v>25165071</v>
      </c>
      <c r="AQ78" s="162">
        <f>ROUND(AP75/AP75,4)</f>
        <v>1</v>
      </c>
      <c r="AR78" s="160">
        <f>AR75</f>
        <v>26842742</v>
      </c>
      <c r="AS78" s="163">
        <f>ROUND(AR75/AR75,4)</f>
        <v>1</v>
      </c>
    </row>
    <row r="79" spans="3:45" ht="15" x14ac:dyDescent="0.25">
      <c r="K79" s="152" t="s">
        <v>136</v>
      </c>
      <c r="L79" s="132"/>
      <c r="M79" s="142"/>
      <c r="N79" s="153">
        <f>+Q68</f>
        <v>891086.66666666674</v>
      </c>
      <c r="O79" s="161">
        <f>ROUND(N79/N75,4)</f>
        <v>0.1062</v>
      </c>
      <c r="P79" s="153">
        <f>+Q68</f>
        <v>891086.66666666674</v>
      </c>
      <c r="Q79" s="161">
        <f>ROUND(P79/P75,4)</f>
        <v>9.6600000000000005E-2</v>
      </c>
      <c r="R79" s="153">
        <f>+Q68</f>
        <v>891086.66666666674</v>
      </c>
      <c r="S79" s="161">
        <f>ROUND(R79/R75,4)</f>
        <v>9.2399999999999996E-2</v>
      </c>
      <c r="T79" s="153">
        <f>+Q68</f>
        <v>891086.66666666674</v>
      </c>
      <c r="U79" s="161">
        <f>ROUND(T79/T75,4)</f>
        <v>8.8499999999999995E-2</v>
      </c>
      <c r="V79" s="153">
        <f>+Q68</f>
        <v>891086.66666666674</v>
      </c>
      <c r="W79" s="161">
        <f>ROUND(V79/V75,4)</f>
        <v>7.0800000000000002E-2</v>
      </c>
      <c r="X79" s="153">
        <f>+Q68</f>
        <v>891086.66666666674</v>
      </c>
      <c r="Y79" s="161">
        <f>ROUND(X79/X75,4)</f>
        <v>6.4399999999999999E-2</v>
      </c>
      <c r="Z79" s="153">
        <f>+Q68</f>
        <v>891086.66666666674</v>
      </c>
      <c r="AA79" s="161">
        <f>ROUND(Z79/Z75,4)</f>
        <v>6.1600000000000002E-2</v>
      </c>
      <c r="AB79" s="153">
        <f>+Q68</f>
        <v>891086.66666666674</v>
      </c>
      <c r="AC79" s="161">
        <f>ROUND(AB79/AB75,4)</f>
        <v>5.8999999999999997E-2</v>
      </c>
      <c r="AD79" s="153">
        <f>+Q68</f>
        <v>891086.66666666674</v>
      </c>
      <c r="AE79" s="161">
        <f>ROUND(AD79/AD75,4)</f>
        <v>5.3100000000000001E-2</v>
      </c>
      <c r="AF79" s="153">
        <v>0</v>
      </c>
      <c r="AG79" s="161">
        <f>ROUND(AF79/AF75,4)</f>
        <v>0</v>
      </c>
      <c r="AH79" s="153">
        <v>0</v>
      </c>
      <c r="AI79" s="161">
        <f>ROUND(AH79/AH75,4)</f>
        <v>0</v>
      </c>
      <c r="AJ79" s="153">
        <v>0</v>
      </c>
      <c r="AK79" s="161">
        <f>ROUND(AJ79/AJ75,4)</f>
        <v>0</v>
      </c>
      <c r="AL79" s="153">
        <v>0</v>
      </c>
      <c r="AM79" s="161">
        <f>ROUND(AL79/AL75,4)</f>
        <v>0</v>
      </c>
      <c r="AN79" s="153">
        <v>0</v>
      </c>
      <c r="AO79" s="161">
        <f>ROUND(AN79/AN75,4)</f>
        <v>0</v>
      </c>
      <c r="AP79" s="153">
        <v>0</v>
      </c>
      <c r="AQ79" s="162">
        <f>ROUND(AP79/AP75,4)</f>
        <v>0</v>
      </c>
      <c r="AR79" s="153">
        <v>0</v>
      </c>
      <c r="AS79" s="163">
        <f>ROUND(AR79/AR75,4)</f>
        <v>0</v>
      </c>
    </row>
    <row r="80" spans="3:45" ht="15" x14ac:dyDescent="0.25">
      <c r="K80" s="164" t="s">
        <v>137</v>
      </c>
      <c r="L80" s="165"/>
      <c r="M80" s="166"/>
      <c r="N80" s="153"/>
      <c r="O80" s="167"/>
      <c r="P80" s="153"/>
      <c r="Q80" s="167"/>
      <c r="R80" s="153"/>
      <c r="S80" s="167"/>
      <c r="T80" s="153"/>
      <c r="U80" s="167"/>
      <c r="V80" s="153"/>
      <c r="W80" s="167"/>
      <c r="X80" s="153"/>
      <c r="Y80" s="167"/>
      <c r="Z80" s="153"/>
      <c r="AA80" s="167"/>
      <c r="AB80" s="153"/>
      <c r="AC80" s="167"/>
      <c r="AD80" s="153"/>
      <c r="AE80" s="167"/>
      <c r="AF80" s="153"/>
      <c r="AG80" s="167"/>
      <c r="AH80" s="153"/>
      <c r="AI80" s="167"/>
      <c r="AJ80" s="153"/>
      <c r="AK80" s="167"/>
      <c r="AL80" s="153"/>
      <c r="AM80" s="167"/>
      <c r="AN80" s="153"/>
      <c r="AO80" s="167"/>
      <c r="AP80" s="153"/>
      <c r="AQ80" s="168"/>
      <c r="AR80" s="153"/>
      <c r="AS80" s="169"/>
    </row>
    <row r="81" spans="11:45" ht="15" x14ac:dyDescent="0.25">
      <c r="K81" s="152" t="s">
        <v>138</v>
      </c>
      <c r="L81" s="132" t="s">
        <v>130</v>
      </c>
      <c r="M81" s="170">
        <v>1</v>
      </c>
      <c r="N81" s="153">
        <f>N74</f>
        <v>767154</v>
      </c>
      <c r="O81" s="161">
        <f>ROUND(N81/N75,4)</f>
        <v>9.1499999999999998E-2</v>
      </c>
      <c r="P81" s="153">
        <f>P74</f>
        <v>831639</v>
      </c>
      <c r="Q81" s="161">
        <f>ROUND(P81/P75,4)</f>
        <v>9.01E-2</v>
      </c>
      <c r="R81" s="153">
        <f>R74</f>
        <v>866112</v>
      </c>
      <c r="S81" s="161">
        <f>ROUND(R81/R75,4)</f>
        <v>8.9800000000000005E-2</v>
      </c>
      <c r="T81" s="153">
        <f>T74</f>
        <v>900585</v>
      </c>
      <c r="U81" s="161">
        <f>ROUND(T81/T75,4)</f>
        <v>8.9499999999999996E-2</v>
      </c>
      <c r="V81" s="153">
        <f>V74</f>
        <v>1107421</v>
      </c>
      <c r="W81" s="161">
        <f>ROUND(V81/V75,4)</f>
        <v>8.7999999999999995E-2</v>
      </c>
      <c r="X81" s="153">
        <f>X74</f>
        <v>1210839.0999999999</v>
      </c>
      <c r="Y81" s="161">
        <f>ROUND(X81/X75,4)</f>
        <v>8.7499999999999994E-2</v>
      </c>
      <c r="Z81" s="153">
        <f>Z74</f>
        <v>1262548.1500000001</v>
      </c>
      <c r="AA81" s="161">
        <f>ROUND(Z81/Z75,4)</f>
        <v>8.7300000000000003E-2</v>
      </c>
      <c r="AB81" s="153">
        <f>AB74</f>
        <v>1314257.2</v>
      </c>
      <c r="AC81" s="161">
        <f>ROUND(AB81/AB75,4)</f>
        <v>8.6999999999999994E-2</v>
      </c>
      <c r="AD81" s="153">
        <f>AD74</f>
        <v>1452148</v>
      </c>
      <c r="AE81" s="161">
        <f>ROUND(AD81/AD75,4)</f>
        <v>8.6599999999999996E-2</v>
      </c>
      <c r="AF81" s="153">
        <f>AF74</f>
        <v>1516798.8</v>
      </c>
      <c r="AG81" s="161">
        <f>ROUND(AF81/AF75,4)</f>
        <v>8.2199999999999995E-2</v>
      </c>
      <c r="AH81" s="153">
        <f>AH74</f>
        <v>1668478.6800000002</v>
      </c>
      <c r="AI81" s="161">
        <f>ROUND(AH81/AH75,4)</f>
        <v>8.2199999999999995E-2</v>
      </c>
      <c r="AJ81" s="153">
        <f>AJ74</f>
        <v>1723635</v>
      </c>
      <c r="AK81" s="161">
        <f>ROUND(AJ81/AJ75,4)</f>
        <v>8.2199999999999995E-2</v>
      </c>
      <c r="AL81" s="153">
        <f>AL74</f>
        <v>1744318.6199999999</v>
      </c>
      <c r="AM81" s="161">
        <f>ROUND(AL81/AL75,4)</f>
        <v>8.2199999999999995E-2</v>
      </c>
      <c r="AN81" s="153">
        <f>AN74</f>
        <v>1820158.56</v>
      </c>
      <c r="AO81" s="161">
        <f>ROUND(AN81/AN75,4)</f>
        <v>8.2199999999999995E-2</v>
      </c>
      <c r="AP81" s="153">
        <f>AP74</f>
        <v>2068362</v>
      </c>
      <c r="AQ81" s="162">
        <f>ROUND(AP81/AP75,4)</f>
        <v>8.2199999999999995E-2</v>
      </c>
      <c r="AR81" s="153">
        <f>AR74</f>
        <v>2206252.8000000003</v>
      </c>
      <c r="AS81" s="163">
        <f>ROUND(AR81/AR75,4)</f>
        <v>8.2199999999999995E-2</v>
      </c>
    </row>
    <row r="82" spans="11:45" ht="15" x14ac:dyDescent="0.25">
      <c r="K82" s="152" t="s">
        <v>139</v>
      </c>
      <c r="L82" s="132" t="s">
        <v>140</v>
      </c>
      <c r="M82" s="170">
        <v>0.12</v>
      </c>
      <c r="N82" s="153">
        <f>ROUND(N81*M82,0)</f>
        <v>92058</v>
      </c>
      <c r="O82" s="161">
        <f>ROUND(N82/N75,4)</f>
        <v>1.0999999999999999E-2</v>
      </c>
      <c r="P82" s="153">
        <f>ROUND(P81*M82,0)</f>
        <v>99797</v>
      </c>
      <c r="Q82" s="161">
        <f>ROUND(P82/P75,4)</f>
        <v>1.0800000000000001E-2</v>
      </c>
      <c r="R82" s="153">
        <f>ROUND(R81*M82,0)</f>
        <v>103933</v>
      </c>
      <c r="S82" s="161">
        <f>ROUND(R82/R75,4)</f>
        <v>1.0800000000000001E-2</v>
      </c>
      <c r="T82" s="153">
        <f>ROUND(T81*M82,0)</f>
        <v>108070</v>
      </c>
      <c r="U82" s="161">
        <f>ROUND(T82/T75,4)</f>
        <v>1.0699999999999999E-2</v>
      </c>
      <c r="V82" s="153">
        <f>ROUND(V81*M82,0)</f>
        <v>132891</v>
      </c>
      <c r="W82" s="161">
        <f>ROUND(V82/V75,4)</f>
        <v>1.06E-2</v>
      </c>
      <c r="X82" s="153">
        <f>ROUND(X81*M82,0)</f>
        <v>145301</v>
      </c>
      <c r="Y82" s="161">
        <f>ROUND(X82/X75,4)</f>
        <v>1.0500000000000001E-2</v>
      </c>
      <c r="Z82" s="153">
        <f>ROUND(Z81*M82,0)</f>
        <v>151506</v>
      </c>
      <c r="AA82" s="161">
        <f>ROUND(Z82/Z75,4)</f>
        <v>1.0500000000000001E-2</v>
      </c>
      <c r="AB82" s="153">
        <f>ROUND(AB81*M82,0)</f>
        <v>157711</v>
      </c>
      <c r="AC82" s="161">
        <f>ROUND(AB82/AB75,4)</f>
        <v>1.04E-2</v>
      </c>
      <c r="AD82" s="153">
        <f>ROUND(AD81*M82,0)</f>
        <v>174258</v>
      </c>
      <c r="AE82" s="161">
        <f>ROUND(AD82/AD75,4)</f>
        <v>1.04E-2</v>
      </c>
      <c r="AF82" s="153">
        <f>ROUND(AF81*M82,0)</f>
        <v>182016</v>
      </c>
      <c r="AG82" s="161">
        <f>ROUND(AF82/AF75,4)</f>
        <v>9.9000000000000008E-3</v>
      </c>
      <c r="AH82" s="153">
        <f>ROUND(AH81*M82,0)</f>
        <v>200217</v>
      </c>
      <c r="AI82" s="161">
        <f>ROUND(AH82/AH75,4)</f>
        <v>9.9000000000000008E-3</v>
      </c>
      <c r="AJ82" s="153">
        <f>ROUND(AJ81*M82,0)</f>
        <v>206836</v>
      </c>
      <c r="AK82" s="161">
        <f>ROUND(AJ82/AJ75,4)</f>
        <v>9.9000000000000008E-3</v>
      </c>
      <c r="AL82" s="153">
        <f>ROUND(AL81*M82,0)</f>
        <v>209318</v>
      </c>
      <c r="AM82" s="161">
        <f>ROUND(AL82/AL75,4)</f>
        <v>9.9000000000000008E-3</v>
      </c>
      <c r="AN82" s="153">
        <f>ROUND(AN81*M82,0)</f>
        <v>218419</v>
      </c>
      <c r="AO82" s="161">
        <f>ROUND(AN82/AN75,4)</f>
        <v>9.9000000000000008E-3</v>
      </c>
      <c r="AP82" s="153">
        <f>ROUND(AP81*M82,0)</f>
        <v>248203</v>
      </c>
      <c r="AQ82" s="162">
        <f>ROUND(AP82/AP75,4)</f>
        <v>9.9000000000000008E-3</v>
      </c>
      <c r="AR82" s="153">
        <f>ROUND(AR81*M82,0)</f>
        <v>264750</v>
      </c>
      <c r="AS82" s="163">
        <f>ROUND(AR82/AR75,4)</f>
        <v>9.9000000000000008E-3</v>
      </c>
    </row>
    <row r="83" spans="11:45" ht="15" x14ac:dyDescent="0.25">
      <c r="K83" s="152" t="s">
        <v>141</v>
      </c>
      <c r="L83" s="132" t="s">
        <v>124</v>
      </c>
      <c r="M83" s="170">
        <v>0.5</v>
      </c>
      <c r="N83" s="153">
        <f>ROUND(N72*M83,0)</f>
        <v>344727</v>
      </c>
      <c r="O83" s="161">
        <f>ROUND(N83/N75,4)</f>
        <v>4.1099999999999998E-2</v>
      </c>
      <c r="P83" s="153">
        <f>ROUND(P72*M83,0)</f>
        <v>379200</v>
      </c>
      <c r="Q83" s="161">
        <f>ROUND(P83/P75,4)</f>
        <v>4.1099999999999998E-2</v>
      </c>
      <c r="R83" s="153">
        <f>ROUND(R72*M83,0)</f>
        <v>396436</v>
      </c>
      <c r="S83" s="161">
        <f>ROUND(R83/R75,4)</f>
        <v>4.1099999999999998E-2</v>
      </c>
      <c r="T83" s="153">
        <f>ROUND(T72*M83,0)</f>
        <v>413673</v>
      </c>
      <c r="U83" s="161">
        <f>ROUND(T83/T75,4)</f>
        <v>4.1099999999999998E-2</v>
      </c>
      <c r="V83" s="153">
        <f>ROUND(V72*M83,0)</f>
        <v>517091</v>
      </c>
      <c r="W83" s="161">
        <f>ROUND(V83/V75,4)</f>
        <v>4.1099999999999998E-2</v>
      </c>
      <c r="X83" s="153">
        <f>ROUND(X72*M83,0)</f>
        <v>568800</v>
      </c>
      <c r="Y83" s="161">
        <f>ROUND(X83/X75,4)</f>
        <v>4.1099999999999998E-2</v>
      </c>
      <c r="Z83" s="153">
        <f>ROUND(Z72*M83,0)</f>
        <v>594654</v>
      </c>
      <c r="AA83" s="161">
        <f>ROUND(Z83/Z75,4)</f>
        <v>4.1099999999999998E-2</v>
      </c>
      <c r="AB83" s="153">
        <f>ROUND(AB72*M83,0)</f>
        <v>620509</v>
      </c>
      <c r="AC83" s="161">
        <f>ROUND(AB83/AB75,4)</f>
        <v>4.1099999999999998E-2</v>
      </c>
      <c r="AD83" s="153">
        <f>ROUND(AD72*M83,0)</f>
        <v>689454</v>
      </c>
      <c r="AE83" s="161">
        <f>ROUND(AD83/AD75,4)</f>
        <v>4.1099999999999998E-2</v>
      </c>
      <c r="AF83" s="153">
        <f>ROUND(AF72*M83,0)</f>
        <v>758399</v>
      </c>
      <c r="AG83" s="161">
        <f>ROUND(AF83/AF75,4)</f>
        <v>4.1099999999999998E-2</v>
      </c>
      <c r="AH83" s="153">
        <f>ROUND(AH72*M83,0)</f>
        <v>834239</v>
      </c>
      <c r="AI83" s="161">
        <f>ROUND(AH83/AH75,4)</f>
        <v>4.1099999999999998E-2</v>
      </c>
      <c r="AJ83" s="153">
        <f>ROUND(AJ72*M83,0)</f>
        <v>861818</v>
      </c>
      <c r="AK83" s="161">
        <f>ROUND(AJ83/AJ75,4)</f>
        <v>4.1099999999999998E-2</v>
      </c>
      <c r="AL83" s="153">
        <f>ROUND(AL72*M83,0)</f>
        <v>872159</v>
      </c>
      <c r="AM83" s="161">
        <f>ROUND(AL83/AL75,4)</f>
        <v>4.1099999999999998E-2</v>
      </c>
      <c r="AN83" s="153">
        <f>ROUND(AN72*M83,0)</f>
        <v>910079</v>
      </c>
      <c r="AO83" s="161">
        <f>ROUND(AN83/AN75,4)</f>
        <v>4.1099999999999998E-2</v>
      </c>
      <c r="AP83" s="153">
        <f>ROUND(AP72*M83,0)</f>
        <v>1034181</v>
      </c>
      <c r="AQ83" s="162">
        <f>ROUND(AP83/AP75,4)</f>
        <v>4.1099999999999998E-2</v>
      </c>
      <c r="AR83" s="153">
        <f>ROUND(AR72*M83,0)</f>
        <v>1103126</v>
      </c>
      <c r="AS83" s="163">
        <f>ROUND(AR83/AR75,4)</f>
        <v>4.1099999999999998E-2</v>
      </c>
    </row>
    <row r="84" spans="11:45" ht="15" x14ac:dyDescent="0.25">
      <c r="K84" s="147" t="s">
        <v>142</v>
      </c>
      <c r="L84" s="132" t="s">
        <v>127</v>
      </c>
      <c r="M84" s="170">
        <v>1</v>
      </c>
      <c r="N84" s="153">
        <f>ROUND(N74*M84,0)</f>
        <v>767154</v>
      </c>
      <c r="O84" s="161">
        <f>ROUND(N84/N75,4)</f>
        <v>9.1499999999999998E-2</v>
      </c>
      <c r="P84" s="153">
        <f>ROUND(P74*M84,0)</f>
        <v>831639</v>
      </c>
      <c r="Q84" s="161">
        <f>ROUND(P84/P75,4)</f>
        <v>9.01E-2</v>
      </c>
      <c r="R84" s="153">
        <f>ROUND(R74*M84,0)</f>
        <v>866112</v>
      </c>
      <c r="S84" s="161">
        <f>ROUND(R84/R75,4)</f>
        <v>8.9800000000000005E-2</v>
      </c>
      <c r="T84" s="153">
        <f>ROUND(T74*M84,0)</f>
        <v>900585</v>
      </c>
      <c r="U84" s="161">
        <f>ROUND(T84/T75,4)</f>
        <v>8.9499999999999996E-2</v>
      </c>
      <c r="V84" s="153">
        <f>ROUND(V74*M84,0)</f>
        <v>1107421</v>
      </c>
      <c r="W84" s="161">
        <f>ROUND(V84/V75,4)</f>
        <v>8.7999999999999995E-2</v>
      </c>
      <c r="X84" s="153">
        <f>ROUND(X74*M84,0)</f>
        <v>1210839</v>
      </c>
      <c r="Y84" s="161">
        <f>ROUND(X84/X75,4)</f>
        <v>8.7499999999999994E-2</v>
      </c>
      <c r="Z84" s="153">
        <f>ROUND(Z74*M84,0)</f>
        <v>1262548</v>
      </c>
      <c r="AA84" s="161">
        <f>ROUND(Z84/Z75,4)</f>
        <v>8.7300000000000003E-2</v>
      </c>
      <c r="AB84" s="153">
        <f>ROUND(AB74*M84,0)</f>
        <v>1314257</v>
      </c>
      <c r="AC84" s="161">
        <f>ROUND(AB84/AB75,4)</f>
        <v>8.6999999999999994E-2</v>
      </c>
      <c r="AD84" s="153">
        <f>ROUND(AD74*M84,0)</f>
        <v>1452148</v>
      </c>
      <c r="AE84" s="161">
        <f>ROUND(AD84/AD75,4)</f>
        <v>8.6599999999999996E-2</v>
      </c>
      <c r="AF84" s="153">
        <f>ROUND(AF74*M84,0)</f>
        <v>1516799</v>
      </c>
      <c r="AG84" s="161">
        <f>ROUND(AF84/AF75,4)</f>
        <v>8.2199999999999995E-2</v>
      </c>
      <c r="AH84" s="153">
        <f>ROUND(AH74*M84,0)</f>
        <v>1668479</v>
      </c>
      <c r="AI84" s="161">
        <f>ROUND(AH84/AH75,4)</f>
        <v>8.2199999999999995E-2</v>
      </c>
      <c r="AJ84" s="153">
        <f>ROUND(AJ74*M84,0)</f>
        <v>1723635</v>
      </c>
      <c r="AK84" s="161">
        <f>ROUND(AJ84/AJ75,4)</f>
        <v>8.2199999999999995E-2</v>
      </c>
      <c r="AL84" s="153">
        <f>ROUND(AL74*M84,0)</f>
        <v>1744319</v>
      </c>
      <c r="AM84" s="161">
        <f>ROUND(AL84/AL75,4)</f>
        <v>8.2199999999999995E-2</v>
      </c>
      <c r="AN84" s="153">
        <f>ROUND(AN74*M84,0)</f>
        <v>1820159</v>
      </c>
      <c r="AO84" s="161">
        <f>ROUND(AN84/AN75,4)</f>
        <v>8.2199999999999995E-2</v>
      </c>
      <c r="AP84" s="153">
        <f>ROUND(AP74*M84,0)</f>
        <v>2068362</v>
      </c>
      <c r="AQ84" s="162">
        <f>ROUND(AP84/AP75,4)</f>
        <v>8.2199999999999995E-2</v>
      </c>
      <c r="AR84" s="153">
        <f>ROUND(AR74*M84,0)</f>
        <v>2206253</v>
      </c>
      <c r="AS84" s="163">
        <f>ROUND(AR84/AR75,4)</f>
        <v>8.2199999999999995E-2</v>
      </c>
    </row>
    <row r="85" spans="11:45" ht="15" x14ac:dyDescent="0.25">
      <c r="K85" s="164" t="s">
        <v>143</v>
      </c>
      <c r="L85" s="165"/>
      <c r="M85" s="166"/>
      <c r="N85" s="153"/>
      <c r="O85" s="167"/>
      <c r="P85" s="153"/>
      <c r="Q85" s="167"/>
      <c r="R85" s="153"/>
      <c r="S85" s="167"/>
      <c r="T85" s="153"/>
      <c r="U85" s="167"/>
      <c r="V85" s="153"/>
      <c r="W85" s="167"/>
      <c r="X85" s="153"/>
      <c r="Y85" s="167"/>
      <c r="Z85" s="153"/>
      <c r="AA85" s="167"/>
      <c r="AB85" s="153"/>
      <c r="AC85" s="167"/>
      <c r="AD85" s="153"/>
      <c r="AE85" s="167"/>
      <c r="AF85" s="153"/>
      <c r="AG85" s="167"/>
      <c r="AH85" s="153"/>
      <c r="AI85" s="167"/>
      <c r="AJ85" s="153"/>
      <c r="AK85" s="167"/>
      <c r="AL85" s="153"/>
      <c r="AM85" s="167"/>
      <c r="AN85" s="153"/>
      <c r="AO85" s="167"/>
      <c r="AP85" s="153"/>
      <c r="AQ85" s="168"/>
      <c r="AR85" s="153"/>
      <c r="AS85" s="169"/>
    </row>
    <row r="86" spans="11:45" ht="15" x14ac:dyDescent="0.25">
      <c r="K86" s="147" t="s">
        <v>144</v>
      </c>
      <c r="L86" s="132">
        <v>180000</v>
      </c>
      <c r="M86" s="171">
        <v>3</v>
      </c>
      <c r="N86" s="153">
        <f>L86*M86</f>
        <v>540000</v>
      </c>
      <c r="O86" s="161">
        <f>ROUND(N86/N75,4)</f>
        <v>6.4399999999999999E-2</v>
      </c>
      <c r="P86" s="153">
        <f>L86*M86</f>
        <v>540000</v>
      </c>
      <c r="Q86" s="161">
        <f>ROUND(P86/P75,4)</f>
        <v>5.8500000000000003E-2</v>
      </c>
      <c r="R86" s="153">
        <f>L86*M86</f>
        <v>540000</v>
      </c>
      <c r="S86" s="161">
        <f>ROUND(R86/R75,4)</f>
        <v>5.6000000000000001E-2</v>
      </c>
      <c r="T86" s="153">
        <f>L86*M86</f>
        <v>540000</v>
      </c>
      <c r="U86" s="161">
        <f>ROUND(T86/T75,4)</f>
        <v>5.3600000000000002E-2</v>
      </c>
      <c r="V86" s="153">
        <f>L86*M86</f>
        <v>540000</v>
      </c>
      <c r="W86" s="161">
        <f>ROUND(V86/V75,4)</f>
        <v>4.2900000000000001E-2</v>
      </c>
      <c r="X86" s="153">
        <f>L86*M86</f>
        <v>540000</v>
      </c>
      <c r="Y86" s="161">
        <f>ROUND(X86/X75,4)</f>
        <v>3.9E-2</v>
      </c>
      <c r="Z86" s="153">
        <f>L86*M86</f>
        <v>540000</v>
      </c>
      <c r="AA86" s="161">
        <f>ROUND(Z86/Z75,4)</f>
        <v>3.73E-2</v>
      </c>
      <c r="AB86" s="153">
        <f>L86*M86</f>
        <v>540000</v>
      </c>
      <c r="AC86" s="161">
        <f>ROUND(AB86/AB75,4)</f>
        <v>3.5799999999999998E-2</v>
      </c>
      <c r="AD86" s="153">
        <f>L86*M86</f>
        <v>540000</v>
      </c>
      <c r="AE86" s="161">
        <f>ROUND(AD86/AD75,4)</f>
        <v>3.2199999999999999E-2</v>
      </c>
      <c r="AF86" s="153">
        <v>0</v>
      </c>
      <c r="AG86" s="161">
        <f>ROUND(AF86/AF75,4)</f>
        <v>0</v>
      </c>
      <c r="AH86" s="153">
        <v>0</v>
      </c>
      <c r="AI86" s="161">
        <f>ROUND(AH86/AH75,4)</f>
        <v>0</v>
      </c>
      <c r="AJ86" s="153">
        <v>0</v>
      </c>
      <c r="AK86" s="161">
        <f>ROUND(AJ86/AJ75,4)</f>
        <v>0</v>
      </c>
      <c r="AL86" s="153">
        <v>0</v>
      </c>
      <c r="AM86" s="161">
        <f>ROUND(AL86/AL75,4)</f>
        <v>0</v>
      </c>
      <c r="AN86" s="153">
        <v>0</v>
      </c>
      <c r="AO86" s="161">
        <f>ROUND(AN86/AN75,4)</f>
        <v>0</v>
      </c>
      <c r="AP86" s="153">
        <v>0</v>
      </c>
      <c r="AQ86" s="162">
        <f>ROUND(AP86/AP75,4)</f>
        <v>0</v>
      </c>
      <c r="AR86" s="153">
        <v>0</v>
      </c>
      <c r="AS86" s="163">
        <f>ROUND(AR86/AR75,4)</f>
        <v>0</v>
      </c>
    </row>
    <row r="87" spans="11:45" ht="15" x14ac:dyDescent="0.25">
      <c r="K87" s="147" t="s">
        <v>145</v>
      </c>
      <c r="L87" s="132">
        <f>20000+10000+5000+3000+1000</f>
        <v>39000</v>
      </c>
      <c r="M87" s="171">
        <v>3</v>
      </c>
      <c r="N87" s="153">
        <f>L87*M87</f>
        <v>117000</v>
      </c>
      <c r="O87" s="161">
        <f>ROUND(N87/N75,4)</f>
        <v>1.3899999999999999E-2</v>
      </c>
      <c r="P87" s="153">
        <f>L87*M87</f>
        <v>117000</v>
      </c>
      <c r="Q87" s="161">
        <f>ROUND(P87/P75,4)</f>
        <v>1.2699999999999999E-2</v>
      </c>
      <c r="R87" s="153">
        <f>L87*M87</f>
        <v>117000</v>
      </c>
      <c r="S87" s="161">
        <f>ROUND(R87/R75,4)</f>
        <v>1.21E-2</v>
      </c>
      <c r="T87" s="153">
        <f>L87*M87</f>
        <v>117000</v>
      </c>
      <c r="U87" s="161">
        <f>ROUND(T87/T75,4)</f>
        <v>1.1599999999999999E-2</v>
      </c>
      <c r="V87" s="153">
        <f>L87*M87</f>
        <v>117000</v>
      </c>
      <c r="W87" s="161">
        <f>ROUND(V87/V75,4)</f>
        <v>9.2999999999999992E-3</v>
      </c>
      <c r="X87" s="153">
        <f>L87*M87</f>
        <v>117000</v>
      </c>
      <c r="Y87" s="161">
        <f>ROUND(X87/X75,4)</f>
        <v>8.5000000000000006E-3</v>
      </c>
      <c r="Z87" s="153">
        <f>L87*M87</f>
        <v>117000</v>
      </c>
      <c r="AA87" s="161">
        <f>ROUND(Z87/Z75,4)</f>
        <v>8.0999999999999996E-3</v>
      </c>
      <c r="AB87" s="153">
        <f>L87*M87</f>
        <v>117000</v>
      </c>
      <c r="AC87" s="161">
        <f>ROUND(AB87/AB75,4)</f>
        <v>7.7000000000000002E-3</v>
      </c>
      <c r="AD87" s="153">
        <f>L87*M87</f>
        <v>117000</v>
      </c>
      <c r="AE87" s="161">
        <f>ROUND(AD87/AD75,4)</f>
        <v>7.0000000000000001E-3</v>
      </c>
      <c r="AF87" s="153">
        <f>L87*M87</f>
        <v>117000</v>
      </c>
      <c r="AG87" s="161">
        <f>ROUND(AF87/AF75,4)</f>
        <v>6.3E-3</v>
      </c>
      <c r="AH87" s="153">
        <f>L87*M87</f>
        <v>117000</v>
      </c>
      <c r="AI87" s="161">
        <f>ROUND(AH87/AH75,4)</f>
        <v>5.7999999999999996E-3</v>
      </c>
      <c r="AJ87" s="153">
        <f>L87*M87</f>
        <v>117000</v>
      </c>
      <c r="AK87" s="161">
        <f>ROUND(AJ87/AJ75,4)</f>
        <v>5.5999999999999999E-3</v>
      </c>
      <c r="AL87" s="153">
        <f>L87*M87</f>
        <v>117000</v>
      </c>
      <c r="AM87" s="161">
        <f>ROUND(AL87/AL75,4)</f>
        <v>5.4999999999999997E-3</v>
      </c>
      <c r="AN87" s="153">
        <f>L87*M87</f>
        <v>117000</v>
      </c>
      <c r="AO87" s="161">
        <f>ROUND(AN87/AN75,4)</f>
        <v>5.3E-3</v>
      </c>
      <c r="AP87" s="153">
        <f>L87*M87</f>
        <v>117000</v>
      </c>
      <c r="AQ87" s="162">
        <f>ROUND(AP87/AP75,4)</f>
        <v>4.5999999999999999E-3</v>
      </c>
      <c r="AR87" s="153">
        <f>L87*M87</f>
        <v>117000</v>
      </c>
      <c r="AS87" s="163">
        <f>ROUND(AR87/AR75,4)</f>
        <v>4.4000000000000003E-3</v>
      </c>
    </row>
    <row r="88" spans="11:45" ht="15" x14ac:dyDescent="0.25">
      <c r="K88" s="164" t="s">
        <v>146</v>
      </c>
      <c r="L88" s="165"/>
      <c r="M88" s="166"/>
      <c r="N88" s="153"/>
      <c r="O88" s="167"/>
      <c r="P88" s="153"/>
      <c r="Q88" s="167"/>
      <c r="R88" s="153"/>
      <c r="S88" s="167"/>
      <c r="T88" s="153"/>
      <c r="U88" s="167"/>
      <c r="V88" s="153"/>
      <c r="W88" s="167"/>
      <c r="X88" s="153"/>
      <c r="Y88" s="167"/>
      <c r="Z88" s="153"/>
      <c r="AA88" s="167"/>
      <c r="AB88" s="153"/>
      <c r="AC88" s="167"/>
      <c r="AD88" s="153"/>
      <c r="AE88" s="167"/>
      <c r="AF88" s="153"/>
      <c r="AG88" s="167"/>
      <c r="AH88" s="153"/>
      <c r="AI88" s="167"/>
      <c r="AJ88" s="153"/>
      <c r="AK88" s="167"/>
      <c r="AL88" s="153"/>
      <c r="AM88" s="167"/>
      <c r="AN88" s="153"/>
      <c r="AO88" s="167"/>
      <c r="AP88" s="153"/>
      <c r="AQ88" s="168"/>
      <c r="AR88" s="153"/>
      <c r="AS88" s="169"/>
    </row>
    <row r="89" spans="11:45" ht="15" x14ac:dyDescent="0.25">
      <c r="K89" s="152" t="s">
        <v>147</v>
      </c>
      <c r="L89" s="132" t="s">
        <v>128</v>
      </c>
      <c r="M89" s="170">
        <v>0.12</v>
      </c>
      <c r="N89" s="153">
        <f>ROUND(N75*M89,0)</f>
        <v>1006603</v>
      </c>
      <c r="O89" s="161">
        <f>ROUND(N89/N75,4)</f>
        <v>0.12</v>
      </c>
      <c r="P89" s="153">
        <f>ROUND(P75*M89,0)</f>
        <v>1107263</v>
      </c>
      <c r="Q89" s="161">
        <f>ROUND(P89/P75,4)</f>
        <v>0.12</v>
      </c>
      <c r="R89" s="153">
        <f>ROUND(R75*M89,0)</f>
        <v>1157593</v>
      </c>
      <c r="S89" s="161">
        <f>ROUND(R89/R75,4)</f>
        <v>0.12</v>
      </c>
      <c r="T89" s="153">
        <f>ROUND(T75*M89,0)</f>
        <v>1207924</v>
      </c>
      <c r="U89" s="161">
        <f>ROUND(T89/T75,4)</f>
        <v>0.12</v>
      </c>
      <c r="V89" s="153">
        <f>ROUND(V75*M89,0)</f>
        <v>1509904</v>
      </c>
      <c r="W89" s="161">
        <f>ROUND(V89/V75,4)</f>
        <v>0.12</v>
      </c>
      <c r="X89" s="153">
        <f>ROUND(X75*M89,0)</f>
        <v>1660895</v>
      </c>
      <c r="Y89" s="161">
        <f>ROUND(X89/X75,4)</f>
        <v>0.12</v>
      </c>
      <c r="Z89" s="153">
        <f>ROUND(Z75*M89,0)</f>
        <v>1736390</v>
      </c>
      <c r="AA89" s="161">
        <f>ROUND(Z89/Z75,4)</f>
        <v>0.12</v>
      </c>
      <c r="AB89" s="153">
        <f>ROUND(AB75*M89,0)</f>
        <v>1811885</v>
      </c>
      <c r="AC89" s="161">
        <f>ROUND(AB89/AB75,4)</f>
        <v>0.12</v>
      </c>
      <c r="AD89" s="153">
        <f>ROUND(AD75*M89,0)</f>
        <v>2013206</v>
      </c>
      <c r="AE89" s="161">
        <f>ROUND(AD89/AD75,4)</f>
        <v>0.12</v>
      </c>
      <c r="AF89" s="153">
        <f>ROUND(AF75*M89,0)</f>
        <v>2214526</v>
      </c>
      <c r="AG89" s="161">
        <f>ROUND(AF89/AF75,4)</f>
        <v>0.12</v>
      </c>
      <c r="AH89" s="153">
        <f>ROUND(AH75*M89,0)</f>
        <v>2435979</v>
      </c>
      <c r="AI89" s="161">
        <f>ROUND(AH89/AH75,4)</f>
        <v>0.12</v>
      </c>
      <c r="AJ89" s="153">
        <f>ROUND(AJ75*M89,0)</f>
        <v>2516507</v>
      </c>
      <c r="AK89" s="161">
        <f>ROUND(AJ89/AJ75,4)</f>
        <v>0.12</v>
      </c>
      <c r="AL89" s="153">
        <f>ROUND(AL75*M89,0)</f>
        <v>2546705</v>
      </c>
      <c r="AM89" s="161">
        <f>ROUND(AL89/AL75,4)</f>
        <v>0.12</v>
      </c>
      <c r="AN89" s="153">
        <f>ROUND(AN75*M89,0)</f>
        <v>2657431</v>
      </c>
      <c r="AO89" s="161">
        <f>ROUND(AN89/AN75,4)</f>
        <v>0.12</v>
      </c>
      <c r="AP89" s="153">
        <f>ROUND(AP75*M89,0)</f>
        <v>3019809</v>
      </c>
      <c r="AQ89" s="162">
        <f>ROUND(AP89/AP75,4)</f>
        <v>0.12</v>
      </c>
      <c r="AR89" s="153">
        <f>ROUND(AR75*M89,0)</f>
        <v>3221129</v>
      </c>
      <c r="AS89" s="163">
        <f>ROUND(AR89/AR75,4)</f>
        <v>0.12</v>
      </c>
    </row>
    <row r="90" spans="11:45" ht="15" x14ac:dyDescent="0.25">
      <c r="K90" s="152" t="s">
        <v>148</v>
      </c>
      <c r="L90" s="132" t="s">
        <v>128</v>
      </c>
      <c r="M90" s="170">
        <v>8.5000000000000006E-2</v>
      </c>
      <c r="N90" s="153">
        <f>ROUND(N75*M90,0)</f>
        <v>713010</v>
      </c>
      <c r="O90" s="161">
        <f>ROUND(N90/N75,4)</f>
        <v>8.5000000000000006E-2</v>
      </c>
      <c r="P90" s="153">
        <f>ROUND(P75*M90,0)</f>
        <v>784311</v>
      </c>
      <c r="Q90" s="161">
        <f>ROUND(P90/P75,4)</f>
        <v>8.5000000000000006E-2</v>
      </c>
      <c r="R90" s="153">
        <f>ROUND(R75*M90,0)</f>
        <v>819962</v>
      </c>
      <c r="S90" s="161">
        <f>ROUND(R90/R75,4)</f>
        <v>8.5000000000000006E-2</v>
      </c>
      <c r="T90" s="153">
        <f>ROUND(T75*M90,0)</f>
        <v>855613</v>
      </c>
      <c r="U90" s="161">
        <f>ROUND(T90/T75,4)</f>
        <v>8.5000000000000006E-2</v>
      </c>
      <c r="V90" s="153">
        <f>ROUND(V75*M90,0)</f>
        <v>1069516</v>
      </c>
      <c r="W90" s="161">
        <f>ROUND(V90/V75,4)</f>
        <v>8.5000000000000006E-2</v>
      </c>
      <c r="X90" s="153">
        <f>ROUND(X75*M90,0)</f>
        <v>1176467</v>
      </c>
      <c r="Y90" s="161">
        <f>ROUND(X90/X75,4)</f>
        <v>8.5000000000000006E-2</v>
      </c>
      <c r="Z90" s="153">
        <f>ROUND(Z75*M90,0)</f>
        <v>1229943</v>
      </c>
      <c r="AA90" s="161">
        <f>ROUND(Z90/Z75,4)</f>
        <v>8.5000000000000006E-2</v>
      </c>
      <c r="AB90" s="153">
        <f>ROUND(AB75*M90,0)</f>
        <v>1283419</v>
      </c>
      <c r="AC90" s="161">
        <f>ROUND(AB90/AB75,4)</f>
        <v>8.5000000000000006E-2</v>
      </c>
      <c r="AD90" s="153">
        <f>ROUND(AD75*M90,0)</f>
        <v>1426021</v>
      </c>
      <c r="AE90" s="161">
        <f>ROUND(AD90/AD75,4)</f>
        <v>8.5000000000000006E-2</v>
      </c>
      <c r="AF90" s="153">
        <f>ROUND(AF75*M90,0)</f>
        <v>1568623</v>
      </c>
      <c r="AG90" s="161">
        <f>ROUND(AF90/AF75,4)</f>
        <v>8.5000000000000006E-2</v>
      </c>
      <c r="AH90" s="153">
        <f>ROUND(AH75*M90,0)</f>
        <v>1725485</v>
      </c>
      <c r="AI90" s="161">
        <f>ROUND(AH90/AH75,4)</f>
        <v>8.5000000000000006E-2</v>
      </c>
      <c r="AJ90" s="153">
        <f>ROUND(AJ75*M90,0)</f>
        <v>1782526</v>
      </c>
      <c r="AK90" s="161">
        <f>ROUND(AJ90/AJ75,4)</f>
        <v>8.5000000000000006E-2</v>
      </c>
      <c r="AL90" s="153">
        <f>ROUND(AL75*M90,0)</f>
        <v>1803916</v>
      </c>
      <c r="AM90" s="161">
        <f>ROUND(AL90/AL75,4)</f>
        <v>8.5000000000000006E-2</v>
      </c>
      <c r="AN90" s="153">
        <f>ROUND(AN75*M90,0)</f>
        <v>1882347</v>
      </c>
      <c r="AO90" s="161">
        <f>ROUND(AN90/AN75,4)</f>
        <v>8.5000000000000006E-2</v>
      </c>
      <c r="AP90" s="153">
        <f>ROUND(AP75*M90,0)</f>
        <v>2139031</v>
      </c>
      <c r="AQ90" s="162">
        <f>ROUND(AP90/AP75,4)</f>
        <v>8.5000000000000006E-2</v>
      </c>
      <c r="AR90" s="153">
        <f>ROUND(AR75*M90,0)</f>
        <v>2281633</v>
      </c>
      <c r="AS90" s="163">
        <f>ROUND(AR90/AR75,4)</f>
        <v>8.5000000000000006E-2</v>
      </c>
    </row>
    <row r="91" spans="11:45" ht="15" x14ac:dyDescent="0.25">
      <c r="K91" s="152" t="s">
        <v>149</v>
      </c>
      <c r="L91" s="132" t="s">
        <v>128</v>
      </c>
      <c r="M91" s="170">
        <v>6.9599999999999995E-2</v>
      </c>
      <c r="N91" s="153">
        <f>ROUND(N75*M91,0)</f>
        <v>583830</v>
      </c>
      <c r="O91" s="161">
        <f>ROUND(N91/N75,4)</f>
        <v>6.9599999999999995E-2</v>
      </c>
      <c r="P91" s="153">
        <f>ROUND(P75*M91,0)</f>
        <v>642212</v>
      </c>
      <c r="Q91" s="161">
        <f>ROUND(P91/P75,4)</f>
        <v>6.9599999999999995E-2</v>
      </c>
      <c r="R91" s="153">
        <f>ROUND(R75*M91,0)</f>
        <v>671404</v>
      </c>
      <c r="S91" s="161">
        <f>ROUND(R91/R75,4)</f>
        <v>6.9599999999999995E-2</v>
      </c>
      <c r="T91" s="153">
        <f>ROUND(T75*M91,0)</f>
        <v>700596</v>
      </c>
      <c r="U91" s="161">
        <f>ROUND(T91/T75,4)</f>
        <v>6.9599999999999995E-2</v>
      </c>
      <c r="V91" s="153">
        <f>ROUND(V75*M91,0)</f>
        <v>875745</v>
      </c>
      <c r="W91" s="161">
        <f>ROUND(V91/V75,4)</f>
        <v>6.9599999999999995E-2</v>
      </c>
      <c r="X91" s="153">
        <f>ROUND(X75*M91,0)</f>
        <v>963319</v>
      </c>
      <c r="Y91" s="161">
        <f>ROUND(X91/X75,4)</f>
        <v>6.9599999999999995E-2</v>
      </c>
      <c r="Z91" s="153">
        <f>ROUND(Z75*M91,0)</f>
        <v>1007106</v>
      </c>
      <c r="AA91" s="161">
        <f>ROUND(Z91/Z75,4)</f>
        <v>6.9599999999999995E-2</v>
      </c>
      <c r="AB91" s="153">
        <f>ROUND(AB75*M91,0)</f>
        <v>1050893</v>
      </c>
      <c r="AC91" s="161">
        <f>ROUND(AB91/AB75,4)</f>
        <v>6.9599999999999995E-2</v>
      </c>
      <c r="AD91" s="153">
        <f>ROUND(AD75*M91,0)</f>
        <v>1167659</v>
      </c>
      <c r="AE91" s="161">
        <f>ROUND(AD91/AD75,4)</f>
        <v>6.9599999999999995E-2</v>
      </c>
      <c r="AF91" s="153">
        <f>ROUND(AF75*M91,0)</f>
        <v>1284425</v>
      </c>
      <c r="AG91" s="161">
        <f>ROUND(AF91/AF75,4)</f>
        <v>6.9599999999999995E-2</v>
      </c>
      <c r="AH91" s="153">
        <f>ROUND(AH75*M91,0)</f>
        <v>1412868</v>
      </c>
      <c r="AI91" s="161">
        <f>ROUND(AH91/AH75,4)</f>
        <v>6.9599999999999995E-2</v>
      </c>
      <c r="AJ91" s="153">
        <f>ROUND(AJ75*M91,0)</f>
        <v>1459574</v>
      </c>
      <c r="AK91" s="161">
        <f>ROUND(AJ91/AJ75,4)</f>
        <v>6.9599999999999995E-2</v>
      </c>
      <c r="AL91" s="153">
        <f>ROUND(AL75*M91,0)</f>
        <v>1477089</v>
      </c>
      <c r="AM91" s="161">
        <f>ROUND(AL91/AL75,4)</f>
        <v>6.9599999999999995E-2</v>
      </c>
      <c r="AN91" s="153">
        <f>ROUND(AN75*M91,0)</f>
        <v>1541310</v>
      </c>
      <c r="AO91" s="161">
        <f>ROUND(AN91/AN75,4)</f>
        <v>6.9599999999999995E-2</v>
      </c>
      <c r="AP91" s="153">
        <f>ROUND(AP75*M91,0)</f>
        <v>1751489</v>
      </c>
      <c r="AQ91" s="162">
        <f>ROUND(AP91/AP75,4)</f>
        <v>6.9599999999999995E-2</v>
      </c>
      <c r="AR91" s="153">
        <f>ROUND(AR75*M91,0)</f>
        <v>1868255</v>
      </c>
      <c r="AS91" s="163">
        <f>ROUND(AR91/AR75,4)</f>
        <v>6.9599999999999995E-2</v>
      </c>
    </row>
    <row r="92" spans="11:45" ht="15" x14ac:dyDescent="0.25">
      <c r="K92" s="164" t="s">
        <v>150</v>
      </c>
      <c r="L92" s="165"/>
      <c r="M92" s="166"/>
      <c r="N92" s="153"/>
      <c r="O92" s="167"/>
      <c r="P92" s="153"/>
      <c r="Q92" s="167"/>
      <c r="R92" s="153"/>
      <c r="S92" s="167"/>
      <c r="T92" s="153"/>
      <c r="U92" s="167"/>
      <c r="V92" s="153"/>
      <c r="W92" s="167"/>
      <c r="X92" s="153"/>
      <c r="Y92" s="167"/>
      <c r="Z92" s="153"/>
      <c r="AA92" s="167"/>
      <c r="AB92" s="153"/>
      <c r="AC92" s="167"/>
      <c r="AD92" s="153"/>
      <c r="AE92" s="167"/>
      <c r="AF92" s="153"/>
      <c r="AG92" s="167"/>
      <c r="AH92" s="153"/>
      <c r="AI92" s="167"/>
      <c r="AJ92" s="153"/>
      <c r="AK92" s="167"/>
      <c r="AL92" s="153"/>
      <c r="AM92" s="167"/>
      <c r="AN92" s="153"/>
      <c r="AO92" s="167"/>
      <c r="AP92" s="153"/>
      <c r="AQ92" s="168"/>
      <c r="AR92" s="153"/>
      <c r="AS92" s="169"/>
    </row>
    <row r="93" spans="11:45" ht="15" x14ac:dyDescent="0.25">
      <c r="K93" s="152" t="s">
        <v>151</v>
      </c>
      <c r="L93" s="132" t="s">
        <v>128</v>
      </c>
      <c r="M93" s="170">
        <v>0.02</v>
      </c>
      <c r="N93" s="153">
        <f>ROUND(N75*M93,0)</f>
        <v>167767</v>
      </c>
      <c r="O93" s="161">
        <f>ROUND(N93/N75,4)</f>
        <v>0.02</v>
      </c>
      <c r="P93" s="153">
        <f>ROUND(P75*M93,0)</f>
        <v>184544</v>
      </c>
      <c r="Q93" s="161">
        <f>ROUND(P93/P75,4)</f>
        <v>0.02</v>
      </c>
      <c r="R93" s="153">
        <f>ROUND(R75*M93,0)</f>
        <v>192932</v>
      </c>
      <c r="S93" s="161">
        <f>ROUND(R93/R75,4)</f>
        <v>0.02</v>
      </c>
      <c r="T93" s="153">
        <f>ROUND(T75*M93,0)</f>
        <v>201321</v>
      </c>
      <c r="U93" s="161">
        <f>ROUND(T93/T75,4)</f>
        <v>0.02</v>
      </c>
      <c r="V93" s="153">
        <f>ROUND(V75*M93,0)</f>
        <v>251651</v>
      </c>
      <c r="W93" s="161">
        <f>ROUND(V93/V75,4)</f>
        <v>0.02</v>
      </c>
      <c r="X93" s="153">
        <f>ROUND(X75*M93,0)</f>
        <v>276816</v>
      </c>
      <c r="Y93" s="161">
        <f>ROUND(X93/X75,4)</f>
        <v>0.02</v>
      </c>
      <c r="Z93" s="153">
        <f>ROUND(Z75*M93,0)</f>
        <v>289398</v>
      </c>
      <c r="AA93" s="161">
        <f>ROUND(Z93/Z75,4)</f>
        <v>0.02</v>
      </c>
      <c r="AB93" s="153">
        <f>ROUND(AB75*M93,0)</f>
        <v>301981</v>
      </c>
      <c r="AC93" s="161">
        <f>ROUND(AB93/AB75,4)</f>
        <v>0.02</v>
      </c>
      <c r="AD93" s="153">
        <f>ROUND(AD75*M93,0)</f>
        <v>335534</v>
      </c>
      <c r="AE93" s="161">
        <f>ROUND(AD93/AD75,4)</f>
        <v>0.02</v>
      </c>
      <c r="AF93" s="153">
        <f>ROUND(AF75*M93,0)</f>
        <v>369088</v>
      </c>
      <c r="AG93" s="161">
        <f>ROUND(AF93/AF75,4)</f>
        <v>0.02</v>
      </c>
      <c r="AH93" s="153">
        <f>ROUND(AH75*O93,0)</f>
        <v>405996</v>
      </c>
      <c r="AI93" s="161">
        <f>ROUND(AH93/AH75,4)</f>
        <v>0.02</v>
      </c>
      <c r="AJ93" s="153">
        <f>ROUND(AJ75*M93,0)</f>
        <v>419418</v>
      </c>
      <c r="AK93" s="161">
        <f>ROUND(AJ93/AJ75,4)</f>
        <v>0.02</v>
      </c>
      <c r="AL93" s="153">
        <f>ROUND(AL75*M93,0)</f>
        <v>424451</v>
      </c>
      <c r="AM93" s="161">
        <f>ROUND(AL93/AL75,4)</f>
        <v>0.02</v>
      </c>
      <c r="AN93" s="153">
        <f>ROUND(AN75*M93,0)</f>
        <v>442905</v>
      </c>
      <c r="AO93" s="161">
        <f>ROUND(AN93/AN75,4)</f>
        <v>0.02</v>
      </c>
      <c r="AP93" s="153">
        <f>ROUND(AP75*M93,0)</f>
        <v>503301</v>
      </c>
      <c r="AQ93" s="162">
        <f>ROUND(AP93/AP75,4)</f>
        <v>0.02</v>
      </c>
      <c r="AR93" s="153">
        <f>ROUND(AR75*M93,0)</f>
        <v>536855</v>
      </c>
      <c r="AS93" s="163">
        <f>ROUND(AR93/AR75,4)</f>
        <v>0.02</v>
      </c>
    </row>
    <row r="94" spans="11:45" ht="15" x14ac:dyDescent="0.25">
      <c r="K94" s="152" t="s">
        <v>152</v>
      </c>
      <c r="L94" s="132" t="s">
        <v>128</v>
      </c>
      <c r="M94" s="172">
        <v>0.5</v>
      </c>
      <c r="N94" s="153">
        <f>ROUND(N72*12/40,0)</f>
        <v>206836</v>
      </c>
      <c r="O94" s="161">
        <f>ROUND(N94/N75,4)</f>
        <v>2.47E-2</v>
      </c>
      <c r="P94" s="153">
        <f>ROUND(N72*12/40,0)</f>
        <v>206836</v>
      </c>
      <c r="Q94" s="161">
        <f>ROUND(P94/P75,4)</f>
        <v>2.24E-2</v>
      </c>
      <c r="R94" s="153">
        <f>ROUND(N72*12/40,0)</f>
        <v>206836</v>
      </c>
      <c r="S94" s="161">
        <f>ROUND(R94/R75,4)</f>
        <v>2.1399999999999999E-2</v>
      </c>
      <c r="T94" s="153">
        <f>ROUND(N72*12/40,0)</f>
        <v>206836</v>
      </c>
      <c r="U94" s="161">
        <f>ROUND(T94/T75,4)</f>
        <v>2.0500000000000001E-2</v>
      </c>
      <c r="V94" s="153">
        <f>ROUND(N72*12/40,0)</f>
        <v>206836</v>
      </c>
      <c r="W94" s="161">
        <f>ROUND(V94/V75,4)</f>
        <v>1.6400000000000001E-2</v>
      </c>
      <c r="X94" s="153">
        <f>ROUND(N72*12/40,0)</f>
        <v>206836</v>
      </c>
      <c r="Y94" s="161">
        <f>ROUND(X94/X75,4)</f>
        <v>1.49E-2</v>
      </c>
      <c r="Z94" s="153">
        <f>ROUND(N72*12/40,0)</f>
        <v>206836</v>
      </c>
      <c r="AA94" s="161">
        <f>ROUND(Z94/Z75,4)</f>
        <v>1.43E-2</v>
      </c>
      <c r="AB94" s="153">
        <f>ROUND(N72*12/40,0)</f>
        <v>206836</v>
      </c>
      <c r="AC94" s="161">
        <f>ROUND(AB94/AB75,4)</f>
        <v>1.37E-2</v>
      </c>
      <c r="AD94" s="153">
        <f>ROUND(N72*12/40,0)</f>
        <v>206836</v>
      </c>
      <c r="AE94" s="161">
        <f>ROUND(AD94/AD75,4)</f>
        <v>1.23E-2</v>
      </c>
      <c r="AF94" s="153">
        <f>ROUND(N72*12/40,0)</f>
        <v>206836</v>
      </c>
      <c r="AG94" s="161">
        <f>ROUND(AF94/AF75,4)</f>
        <v>1.12E-2</v>
      </c>
      <c r="AH94" s="153">
        <f>ROUND(N72*12/40,0)</f>
        <v>206836</v>
      </c>
      <c r="AI94" s="161">
        <f>ROUND(AH94/AH75,4)</f>
        <v>1.0200000000000001E-2</v>
      </c>
      <c r="AJ94" s="153">
        <f>ROUND(N72*12/40,0)</f>
        <v>206836</v>
      </c>
      <c r="AK94" s="161">
        <f>ROUND(AJ94/AJ75,4)</f>
        <v>9.9000000000000008E-3</v>
      </c>
      <c r="AL94" s="153">
        <f>ROUND(N72*12/40,0)</f>
        <v>206836</v>
      </c>
      <c r="AM94" s="161">
        <f>ROUND(AL94/AL75,4)</f>
        <v>9.7000000000000003E-3</v>
      </c>
      <c r="AN94" s="153">
        <f>ROUND(N72*12/40,0)</f>
        <v>206836</v>
      </c>
      <c r="AO94" s="161">
        <f>ROUND(AN94/AN75,4)</f>
        <v>9.2999999999999992E-3</v>
      </c>
      <c r="AP94" s="153">
        <f>ROUND(N72*12/40,0)</f>
        <v>206836</v>
      </c>
      <c r="AQ94" s="162">
        <f>ROUND(AP94/AP75,4)</f>
        <v>8.2000000000000007E-3</v>
      </c>
      <c r="AR94" s="153">
        <f>ROUND(N72*12/40,0)</f>
        <v>206836</v>
      </c>
      <c r="AS94" s="163">
        <f>ROUND(AR94/AR75,4)</f>
        <v>7.7000000000000002E-3</v>
      </c>
    </row>
    <row r="95" spans="11:45" ht="15" x14ac:dyDescent="0.25">
      <c r="K95" s="164" t="s">
        <v>153</v>
      </c>
      <c r="L95" s="165"/>
      <c r="M95" s="166"/>
      <c r="N95" s="153"/>
      <c r="O95" s="167"/>
      <c r="P95" s="153"/>
      <c r="Q95" s="167"/>
      <c r="R95" s="153"/>
      <c r="S95" s="167"/>
      <c r="T95" s="153"/>
      <c r="U95" s="167"/>
      <c r="V95" s="153"/>
      <c r="W95" s="167"/>
      <c r="X95" s="153"/>
      <c r="Y95" s="167"/>
      <c r="Z95" s="153"/>
      <c r="AA95" s="167"/>
      <c r="AB95" s="153"/>
      <c r="AC95" s="167"/>
      <c r="AD95" s="153"/>
      <c r="AE95" s="167"/>
      <c r="AF95" s="153"/>
      <c r="AG95" s="167"/>
      <c r="AH95" s="153"/>
      <c r="AI95" s="167"/>
      <c r="AJ95" s="153"/>
      <c r="AK95" s="167"/>
      <c r="AL95" s="153"/>
      <c r="AM95" s="167"/>
      <c r="AN95" s="153"/>
      <c r="AO95" s="167"/>
      <c r="AP95" s="153"/>
      <c r="AQ95" s="168"/>
      <c r="AR95" s="153"/>
      <c r="AS95" s="169"/>
    </row>
    <row r="96" spans="11:45" ht="15" x14ac:dyDescent="0.25">
      <c r="K96" s="152" t="s">
        <v>154</v>
      </c>
      <c r="L96" s="132" t="s">
        <v>128</v>
      </c>
      <c r="M96" s="170">
        <v>0.03</v>
      </c>
      <c r="N96" s="153">
        <f>ROUND(N75*M96,0)</f>
        <v>251651</v>
      </c>
      <c r="O96" s="161">
        <f>ROUND(N96/N75,4)</f>
        <v>0.03</v>
      </c>
      <c r="P96" s="153">
        <f>ROUND(P75*M96,0)</f>
        <v>276816</v>
      </c>
      <c r="Q96" s="161">
        <f>ROUND(P96/P75,4)</f>
        <v>0.03</v>
      </c>
      <c r="R96" s="153">
        <f>ROUND(R75*M96,0)</f>
        <v>289398</v>
      </c>
      <c r="S96" s="161">
        <f>ROUND(R96/R75,4)</f>
        <v>0.03</v>
      </c>
      <c r="T96" s="153">
        <f>ROUND(T75*M96,0)</f>
        <v>301981</v>
      </c>
      <c r="U96" s="161">
        <f>ROUND(T96/T75,4)</f>
        <v>0.03</v>
      </c>
      <c r="V96" s="153">
        <f>ROUND(V75*M96,0)</f>
        <v>377476</v>
      </c>
      <c r="W96" s="161">
        <f>ROUND(V96/V75,4)</f>
        <v>0.03</v>
      </c>
      <c r="X96" s="153">
        <f>ROUND(X75*M96,0)</f>
        <v>415224</v>
      </c>
      <c r="Y96" s="161">
        <f>ROUND(X96/X75,4)</f>
        <v>0.03</v>
      </c>
      <c r="Z96" s="153">
        <f>ROUND(Z75*M96,0)</f>
        <v>434097</v>
      </c>
      <c r="AA96" s="161">
        <f>ROUND(Z96/Z75,4)</f>
        <v>0.03</v>
      </c>
      <c r="AB96" s="153">
        <f>ROUND(AB75*M96,0)</f>
        <v>452971</v>
      </c>
      <c r="AC96" s="161">
        <f>ROUND(AB96/AB75,4)</f>
        <v>0.03</v>
      </c>
      <c r="AD96" s="153">
        <f>ROUND(AD75*M96,0)</f>
        <v>503301</v>
      </c>
      <c r="AE96" s="161">
        <f>ROUND(AD96/AD75,4)</f>
        <v>0.03</v>
      </c>
      <c r="AF96" s="153">
        <f>ROUND(AF75*M96,0)</f>
        <v>553632</v>
      </c>
      <c r="AG96" s="161">
        <f>ROUND(AF96/AF75,4)</f>
        <v>0.03</v>
      </c>
      <c r="AH96" s="153">
        <f>ROUND(AH75*M96,0)</f>
        <v>608995</v>
      </c>
      <c r="AI96" s="161">
        <f>ROUND(AH96/AH75,4)</f>
        <v>0.03</v>
      </c>
      <c r="AJ96" s="153">
        <f>ROUND(AJ75*M96,0)</f>
        <v>629127</v>
      </c>
      <c r="AK96" s="161">
        <f>ROUND(AJ96/AJ75,4)</f>
        <v>0.03</v>
      </c>
      <c r="AL96" s="153">
        <f>ROUND(AL75*M96,0)</f>
        <v>636676</v>
      </c>
      <c r="AM96" s="161">
        <f>ROUND(AL96/AL75,4)</f>
        <v>0.03</v>
      </c>
      <c r="AN96" s="153">
        <f>ROUND(AN75*M96,0)</f>
        <v>664358</v>
      </c>
      <c r="AO96" s="161">
        <f>ROUND(AN96/AN75,4)</f>
        <v>0.03</v>
      </c>
      <c r="AP96" s="153">
        <f>ROUND(AP75*M96,0)</f>
        <v>754952</v>
      </c>
      <c r="AQ96" s="162">
        <f>ROUND(AP96/AP75,4)</f>
        <v>0.03</v>
      </c>
      <c r="AR96" s="153">
        <f>ROUND(AR75*M96,0)</f>
        <v>805282</v>
      </c>
      <c r="AS96" s="163">
        <f>ROUND(AR96/AR75,4)</f>
        <v>0.03</v>
      </c>
    </row>
    <row r="97" spans="11:45" ht="15" x14ac:dyDescent="0.25">
      <c r="K97" s="152" t="s">
        <v>155</v>
      </c>
      <c r="L97" s="132" t="s">
        <v>128</v>
      </c>
      <c r="M97" s="170">
        <v>0.04</v>
      </c>
      <c r="N97" s="153">
        <f>ROUND(N75*M97,0)</f>
        <v>335534</v>
      </c>
      <c r="O97" s="161">
        <f>ROUND(N97/N75,4)</f>
        <v>0.04</v>
      </c>
      <c r="P97" s="153">
        <f>ROUND(P75*M97,0)</f>
        <v>369088</v>
      </c>
      <c r="Q97" s="161">
        <f>ROUND(P97/P75,4)</f>
        <v>0.04</v>
      </c>
      <c r="R97" s="153">
        <f>ROUND(R75*M97,0)</f>
        <v>385864</v>
      </c>
      <c r="S97" s="161">
        <f>ROUND(R97/R75,4)</f>
        <v>0.04</v>
      </c>
      <c r="T97" s="153">
        <f>ROUND(T75*M97,0)</f>
        <v>402641</v>
      </c>
      <c r="U97" s="161">
        <f>ROUND(T97/T75,4)</f>
        <v>0.04</v>
      </c>
      <c r="V97" s="153">
        <f>ROUND(V75*M97,0)</f>
        <v>503301</v>
      </c>
      <c r="W97" s="161">
        <f>ROUND(V97/V75,4)</f>
        <v>0.04</v>
      </c>
      <c r="X97" s="153">
        <f>ROUND(X75*M97,0)</f>
        <v>553632</v>
      </c>
      <c r="Y97" s="161">
        <f>ROUND(X97/X75,4)</f>
        <v>0.04</v>
      </c>
      <c r="Z97" s="153">
        <f>ROUND(Z75*M97,0)</f>
        <v>578797</v>
      </c>
      <c r="AA97" s="161">
        <f>ROUND(Z97/Z75,4)</f>
        <v>0.04</v>
      </c>
      <c r="AB97" s="153">
        <f>ROUND(AB75*M97,0)</f>
        <v>603962</v>
      </c>
      <c r="AC97" s="161">
        <f>ROUND(AB97/AB75,4)</f>
        <v>0.04</v>
      </c>
      <c r="AD97" s="153">
        <f>ROUND(AD75*M97,0)</f>
        <v>671069</v>
      </c>
      <c r="AE97" s="161">
        <f>ROUND(AD97/AD75,4)</f>
        <v>0.04</v>
      </c>
      <c r="AF97" s="153">
        <f>ROUND(AF75*M97,0)</f>
        <v>738175</v>
      </c>
      <c r="AG97" s="161">
        <f>ROUND(AF97/AF75,4)</f>
        <v>0.04</v>
      </c>
      <c r="AH97" s="153">
        <f>ROUND(AH75*M97,0)</f>
        <v>811993</v>
      </c>
      <c r="AI97" s="161">
        <f>ROUND(AH97/AH75,4)</f>
        <v>0.04</v>
      </c>
      <c r="AJ97" s="153">
        <f>ROUND(AJ75*M97,0)</f>
        <v>838836</v>
      </c>
      <c r="AK97" s="161">
        <f>ROUND(AJ97/AJ75,4)</f>
        <v>0.04</v>
      </c>
      <c r="AL97" s="153">
        <f>ROUND(AL75*M97,0)</f>
        <v>848902</v>
      </c>
      <c r="AM97" s="161">
        <f>ROUND(AL97/AL75,4)</f>
        <v>0.04</v>
      </c>
      <c r="AN97" s="153">
        <f>ROUND(AN75*M97,0)</f>
        <v>885810</v>
      </c>
      <c r="AO97" s="161">
        <f>ROUND(AN97/AN75,4)</f>
        <v>0.04</v>
      </c>
      <c r="AP97" s="153">
        <f>ROUND(AP75*M97,0)</f>
        <v>1006603</v>
      </c>
      <c r="AQ97" s="162">
        <f>ROUND(AP97/AP75,4)</f>
        <v>0.04</v>
      </c>
      <c r="AR97" s="153">
        <f>ROUND(AR75*M97,0)</f>
        <v>1073710</v>
      </c>
      <c r="AS97" s="163">
        <f>ROUND(AR97/AR75,4)</f>
        <v>0.04</v>
      </c>
    </row>
    <row r="98" spans="11:45" ht="15" thickBot="1" x14ac:dyDescent="0.25">
      <c r="K98" s="173" t="s">
        <v>156</v>
      </c>
      <c r="L98" s="174"/>
      <c r="M98" s="175"/>
      <c r="N98" s="176">
        <f t="shared" ref="N98:AS98" si="3">SUM(N78:N97)</f>
        <v>15172767.666666666</v>
      </c>
      <c r="O98" s="177">
        <f t="shared" si="3"/>
        <v>1.8088999999999995</v>
      </c>
      <c r="P98" s="176">
        <f t="shared" si="3"/>
        <v>16488619.666666666</v>
      </c>
      <c r="Q98" s="177">
        <f t="shared" si="3"/>
        <v>1.7868999999999997</v>
      </c>
      <c r="R98" s="176">
        <f t="shared" si="3"/>
        <v>17151277.666666664</v>
      </c>
      <c r="S98" s="177">
        <f t="shared" si="3"/>
        <v>1.778</v>
      </c>
      <c r="T98" s="176">
        <f>SUM(T78:T97)</f>
        <v>17813942.666666664</v>
      </c>
      <c r="U98" s="177">
        <f>SUM(U78:U97)</f>
        <v>1.7695999999999996</v>
      </c>
      <c r="V98" s="176">
        <f t="shared" si="3"/>
        <v>21789875.666666664</v>
      </c>
      <c r="W98" s="177">
        <f t="shared" si="3"/>
        <v>1.7316999999999998</v>
      </c>
      <c r="X98" s="176">
        <f>SUM(X78:X97)</f>
        <v>23777843.766666666</v>
      </c>
      <c r="Y98" s="177">
        <f>SUM(Y78:Y97)</f>
        <v>1.7179999999999993</v>
      </c>
      <c r="Z98" s="176">
        <f>SUM(Z78:Z97)</f>
        <v>24771825.816666666</v>
      </c>
      <c r="AA98" s="177">
        <f>SUM(AA78:AA97)</f>
        <v>1.7120999999999997</v>
      </c>
      <c r="AB98" s="176">
        <f t="shared" si="3"/>
        <v>25765810.866666667</v>
      </c>
      <c r="AC98" s="177">
        <f t="shared" si="3"/>
        <v>1.7062999999999999</v>
      </c>
      <c r="AD98" s="176">
        <f t="shared" si="3"/>
        <v>28416434.666666668</v>
      </c>
      <c r="AE98" s="177">
        <f t="shared" si="3"/>
        <v>1.6938999999999997</v>
      </c>
      <c r="AF98" s="176">
        <f t="shared" si="3"/>
        <v>29480702.800000001</v>
      </c>
      <c r="AG98" s="177">
        <f t="shared" si="3"/>
        <v>1.5974999999999999</v>
      </c>
      <c r="AH98" s="176">
        <f t="shared" si="3"/>
        <v>32396389.68</v>
      </c>
      <c r="AI98" s="177">
        <f t="shared" si="3"/>
        <v>1.5960000000000001</v>
      </c>
      <c r="AJ98" s="176">
        <f>SUM(AJ78:AJ97)</f>
        <v>33456641</v>
      </c>
      <c r="AK98" s="177">
        <f>SUM(AK78:AK97)</f>
        <v>1.5955000000000001</v>
      </c>
      <c r="AL98" s="176">
        <f t="shared" si="3"/>
        <v>33854232.620000005</v>
      </c>
      <c r="AM98" s="177">
        <f t="shared" si="3"/>
        <v>1.5952</v>
      </c>
      <c r="AN98" s="176">
        <f>SUM(AN78:AN97)</f>
        <v>35312074.560000002</v>
      </c>
      <c r="AO98" s="177">
        <f>SUM(AO78:AO97)</f>
        <v>1.5946</v>
      </c>
      <c r="AP98" s="176">
        <f t="shared" si="3"/>
        <v>40083200</v>
      </c>
      <c r="AQ98" s="178">
        <f t="shared" si="3"/>
        <v>1.5927999999999998</v>
      </c>
      <c r="AR98" s="176">
        <f t="shared" si="3"/>
        <v>42733823.799999997</v>
      </c>
      <c r="AS98" s="179">
        <f t="shared" si="3"/>
        <v>1.5920999999999998</v>
      </c>
    </row>
    <row r="99" spans="11:45" ht="15.75" thickTop="1" x14ac:dyDescent="0.25">
      <c r="N99" s="180">
        <v>365</v>
      </c>
      <c r="O99" s="181"/>
      <c r="P99" s="180">
        <v>365</v>
      </c>
      <c r="Q99" s="181"/>
      <c r="R99" s="180">
        <v>365</v>
      </c>
      <c r="S99" s="181"/>
      <c r="T99" s="180">
        <v>365</v>
      </c>
      <c r="U99" s="181"/>
      <c r="V99" s="182">
        <v>365</v>
      </c>
      <c r="W99" s="183"/>
      <c r="X99" s="182">
        <v>365</v>
      </c>
      <c r="Y99" s="183"/>
      <c r="Z99" s="182">
        <v>365</v>
      </c>
      <c r="AA99" s="183"/>
      <c r="AB99" s="182">
        <v>365</v>
      </c>
      <c r="AC99" s="183"/>
      <c r="AD99" s="29">
        <v>365</v>
      </c>
      <c r="AE99" s="184"/>
      <c r="AF99" s="29">
        <v>365</v>
      </c>
      <c r="AG99" s="184"/>
      <c r="AH99" s="29">
        <v>365</v>
      </c>
      <c r="AI99" s="184"/>
      <c r="AJ99" s="29">
        <v>365</v>
      </c>
      <c r="AK99" s="184"/>
      <c r="AL99" s="29">
        <v>365</v>
      </c>
      <c r="AM99" s="184"/>
      <c r="AN99" s="29">
        <v>365</v>
      </c>
      <c r="AO99" s="184"/>
      <c r="AP99" s="29">
        <v>365</v>
      </c>
      <c r="AQ99" s="184"/>
      <c r="AR99" s="29">
        <v>365</v>
      </c>
    </row>
    <row r="100" spans="11:45" ht="15" x14ac:dyDescent="0.25">
      <c r="K100" s="185"/>
      <c r="N100" s="186">
        <f>N98/N99</f>
        <v>41569.226484018262</v>
      </c>
      <c r="O100" s="187"/>
      <c r="P100" s="186">
        <f>P98/P99</f>
        <v>45174.300456621</v>
      </c>
      <c r="Q100" s="187"/>
      <c r="R100" s="186">
        <f>R98/R99</f>
        <v>46989.801826484014</v>
      </c>
      <c r="S100" s="187"/>
      <c r="T100" s="186">
        <f>T98/T99</f>
        <v>48805.322374429219</v>
      </c>
      <c r="U100" s="187"/>
      <c r="V100" s="188">
        <f>V98/V99</f>
        <v>59698.289497716891</v>
      </c>
      <c r="W100" s="181"/>
      <c r="X100" s="188">
        <f>X98/X99</f>
        <v>65144.777442922372</v>
      </c>
      <c r="Y100" s="181"/>
      <c r="Z100" s="188">
        <f>Z98/Z99</f>
        <v>67868.015936073061</v>
      </c>
      <c r="AA100" s="181"/>
      <c r="AB100" s="188">
        <f>AB98/AB99</f>
        <v>70591.262648401826</v>
      </c>
      <c r="AC100" s="181"/>
      <c r="AD100" s="189">
        <f>AD98/AD99</f>
        <v>77853.245662100453</v>
      </c>
      <c r="AE100" s="190"/>
      <c r="AF100" s="189">
        <f>AF98/AF99</f>
        <v>80769.048767123284</v>
      </c>
      <c r="AG100" s="190"/>
      <c r="AH100" s="189">
        <f>AH98/AH99</f>
        <v>88757.232000000004</v>
      </c>
      <c r="AI100" s="190"/>
      <c r="AJ100" s="189">
        <f>AJ98/AJ99</f>
        <v>91662.030136986301</v>
      </c>
      <c r="AK100" s="190"/>
      <c r="AL100" s="189">
        <f>AL98/AL99</f>
        <v>92751.32224657535</v>
      </c>
      <c r="AM100" s="190"/>
      <c r="AN100" s="189">
        <f>AN98/AN99</f>
        <v>96745.409753424668</v>
      </c>
      <c r="AO100" s="190"/>
      <c r="AP100" s="189">
        <f>AP98/AP99</f>
        <v>109816.98630136986</v>
      </c>
      <c r="AQ100" s="190"/>
      <c r="AR100" s="189">
        <f>AR98/AR99</f>
        <v>117078.96931506849</v>
      </c>
      <c r="AS100" s="191"/>
    </row>
    <row r="105" spans="11:45" x14ac:dyDescent="0.2">
      <c r="N105" s="190"/>
    </row>
  </sheetData>
  <mergeCells count="56">
    <mergeCell ref="K41:L41"/>
    <mergeCell ref="B1:P1"/>
    <mergeCell ref="B2:I2"/>
    <mergeCell ref="B3:I3"/>
    <mergeCell ref="B4:I4"/>
    <mergeCell ref="B5:I5"/>
    <mergeCell ref="B6:B7"/>
    <mergeCell ref="C6:C7"/>
    <mergeCell ref="D6:D7"/>
    <mergeCell ref="E6:E7"/>
    <mergeCell ref="F6:F7"/>
    <mergeCell ref="K23:N23"/>
    <mergeCell ref="K37:M37"/>
    <mergeCell ref="K38:L38"/>
    <mergeCell ref="K39:L39"/>
    <mergeCell ref="K40:L40"/>
    <mergeCell ref="K53:L53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P70:Q70"/>
    <mergeCell ref="K54:L54"/>
    <mergeCell ref="C62:G62"/>
    <mergeCell ref="C63:D63"/>
    <mergeCell ref="C64:D64"/>
    <mergeCell ref="C65:D65"/>
    <mergeCell ref="C66:D66"/>
    <mergeCell ref="C67:D67"/>
    <mergeCell ref="C68:D68"/>
    <mergeCell ref="C69:D69"/>
    <mergeCell ref="C70:D70"/>
    <mergeCell ref="N70:O70"/>
    <mergeCell ref="AP70:AQ70"/>
    <mergeCell ref="AR70:AS70"/>
    <mergeCell ref="C71:D71"/>
    <mergeCell ref="C72:D72"/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</mergeCell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44A"/>
  </sheetPr>
  <dimension ref="A1:H32"/>
  <sheetViews>
    <sheetView tabSelected="1" topLeftCell="A7" zoomScaleNormal="100" workbookViewId="0">
      <selection activeCell="B20" sqref="B20"/>
    </sheetView>
  </sheetViews>
  <sheetFormatPr baseColWidth="10" defaultColWidth="11" defaultRowHeight="12.75" x14ac:dyDescent="0.25"/>
  <cols>
    <col min="1" max="1" width="7.28515625" style="1" customWidth="1"/>
    <col min="2" max="2" width="45.140625" style="1" customWidth="1"/>
    <col min="3" max="3" width="10" style="1" customWidth="1"/>
    <col min="4" max="4" width="7.28515625" style="1" customWidth="1"/>
    <col min="5" max="5" width="8.7109375" style="2" customWidth="1"/>
    <col min="6" max="6" width="11" style="3" customWidth="1"/>
    <col min="7" max="7" width="13" style="1" customWidth="1"/>
    <col min="8" max="16384" width="11" style="1"/>
  </cols>
  <sheetData>
    <row r="1" spans="1:8" ht="36.75" customHeight="1" x14ac:dyDescent="0.25">
      <c r="A1" s="744" t="s">
        <v>605</v>
      </c>
      <c r="B1" s="744"/>
      <c r="C1" s="744"/>
      <c r="D1" s="744"/>
      <c r="E1" s="744"/>
      <c r="F1" s="744"/>
      <c r="G1" s="744"/>
    </row>
    <row r="2" spans="1:8" ht="21" customHeight="1" x14ac:dyDescent="0.25">
      <c r="A2" s="745" t="s">
        <v>632</v>
      </c>
      <c r="B2" s="745"/>
      <c r="C2" s="745"/>
      <c r="D2" s="745"/>
      <c r="E2" s="745"/>
      <c r="F2" s="745"/>
      <c r="G2" s="745"/>
    </row>
    <row r="3" spans="1:8" ht="16.5" customHeight="1" x14ac:dyDescent="0.25">
      <c r="A3" s="746" t="s">
        <v>265</v>
      </c>
      <c r="B3" s="746"/>
      <c r="C3" s="746"/>
      <c r="D3" s="746"/>
      <c r="E3" s="746"/>
      <c r="F3" s="746"/>
      <c r="G3" s="746"/>
    </row>
    <row r="4" spans="1:8" s="6" customFormat="1" ht="16.5" customHeight="1" x14ac:dyDescent="0.25">
      <c r="A4" s="746" t="s">
        <v>266</v>
      </c>
      <c r="B4" s="746"/>
      <c r="C4" s="746"/>
      <c r="D4" s="746"/>
      <c r="E4" s="746"/>
      <c r="F4" s="746"/>
      <c r="G4" s="746"/>
    </row>
    <row r="5" spans="1:8" s="6" customFormat="1" ht="16.5" customHeight="1" x14ac:dyDescent="0.25">
      <c r="A5" s="746" t="s">
        <v>267</v>
      </c>
      <c r="B5" s="746"/>
      <c r="C5" s="746"/>
      <c r="D5" s="746"/>
      <c r="E5" s="746"/>
      <c r="F5" s="746"/>
      <c r="G5" s="746"/>
    </row>
    <row r="6" spans="1:8" s="7" customFormat="1" ht="18" customHeight="1" x14ac:dyDescent="0.25">
      <c r="A6" s="743" t="s">
        <v>555</v>
      </c>
      <c r="B6" s="743"/>
      <c r="C6" s="743"/>
      <c r="D6" s="743"/>
      <c r="E6" s="743"/>
      <c r="F6" s="743"/>
      <c r="G6" s="743"/>
    </row>
    <row r="7" spans="1:8" s="214" customFormat="1" ht="15.75" customHeight="1" x14ac:dyDescent="0.25">
      <c r="A7" s="747" t="s">
        <v>557</v>
      </c>
      <c r="B7" s="747"/>
      <c r="C7" s="747"/>
      <c r="D7" s="747"/>
      <c r="E7" s="747"/>
      <c r="F7" s="747"/>
      <c r="G7" s="747"/>
    </row>
    <row r="8" spans="1:8" s="7" customFormat="1" ht="17.25" customHeight="1" x14ac:dyDescent="0.25">
      <c r="A8" s="748" t="s">
        <v>624</v>
      </c>
      <c r="B8" s="748"/>
      <c r="C8" s="748"/>
      <c r="D8" s="748"/>
      <c r="E8" s="748"/>
      <c r="F8" s="748"/>
      <c r="G8" s="748"/>
      <c r="H8" s="729"/>
    </row>
    <row r="9" spans="1:8" s="215" customFormat="1" ht="28.5" customHeight="1" x14ac:dyDescent="0.25">
      <c r="A9" s="227" t="s">
        <v>5</v>
      </c>
      <c r="B9" s="227" t="s">
        <v>9</v>
      </c>
      <c r="C9" s="227" t="s">
        <v>7</v>
      </c>
      <c r="D9" s="227" t="s">
        <v>181</v>
      </c>
      <c r="E9" s="228" t="s">
        <v>0</v>
      </c>
      <c r="F9" s="229" t="s">
        <v>1</v>
      </c>
      <c r="G9" s="230" t="s">
        <v>263</v>
      </c>
    </row>
    <row r="10" spans="1:8" s="5" customFormat="1" ht="20.25" customHeight="1" x14ac:dyDescent="0.25">
      <c r="A10" s="17">
        <v>1</v>
      </c>
      <c r="B10" s="1020" t="s">
        <v>269</v>
      </c>
      <c r="C10" s="217" t="s">
        <v>13</v>
      </c>
      <c r="D10" s="217">
        <v>2</v>
      </c>
      <c r="E10" s="17">
        <v>1</v>
      </c>
      <c r="F10" s="219">
        <f>'Cotizaciones intersección'!N43</f>
        <v>541814095</v>
      </c>
      <c r="G10" s="220">
        <f>E10*F10</f>
        <v>541814095</v>
      </c>
    </row>
    <row r="11" spans="1:8" s="5" customFormat="1" ht="33" customHeight="1" x14ac:dyDescent="0.25">
      <c r="A11" s="17">
        <v>2</v>
      </c>
      <c r="B11" s="1020" t="s">
        <v>270</v>
      </c>
      <c r="C11" s="217" t="s">
        <v>13</v>
      </c>
      <c r="D11" s="217">
        <v>2</v>
      </c>
      <c r="E11" s="17">
        <v>1</v>
      </c>
      <c r="F11" s="219">
        <f>'Interventoría Semaforización'!I31</f>
        <v>57221476</v>
      </c>
      <c r="G11" s="220">
        <f t="shared" ref="G11" si="0">E11*F11</f>
        <v>57221476</v>
      </c>
    </row>
    <row r="12" spans="1:8" s="222" customFormat="1" x14ac:dyDescent="0.25">
      <c r="A12" s="749" t="s">
        <v>10</v>
      </c>
      <c r="B12" s="749"/>
      <c r="C12" s="750" t="s">
        <v>10</v>
      </c>
      <c r="D12" s="750"/>
      <c r="E12" s="750"/>
      <c r="F12" s="750"/>
      <c r="G12" s="221">
        <f>ROUND(SUM(G10:G11),0)</f>
        <v>599035571</v>
      </c>
    </row>
    <row r="13" spans="1:8" s="7" customFormat="1" ht="18.75" customHeight="1" x14ac:dyDescent="0.25">
      <c r="A13" s="743" t="s">
        <v>556</v>
      </c>
      <c r="B13" s="743"/>
      <c r="C13" s="743"/>
      <c r="D13" s="743"/>
      <c r="E13" s="743"/>
      <c r="F13" s="743"/>
      <c r="G13" s="743"/>
    </row>
    <row r="14" spans="1:8" s="214" customFormat="1" ht="28.5" customHeight="1" x14ac:dyDescent="0.25">
      <c r="A14" s="747" t="s">
        <v>558</v>
      </c>
      <c r="B14" s="747"/>
      <c r="C14" s="747"/>
      <c r="D14" s="747"/>
      <c r="E14" s="747"/>
      <c r="F14" s="747"/>
      <c r="G14" s="747"/>
    </row>
    <row r="15" spans="1:8" s="7" customFormat="1" ht="17.25" customHeight="1" x14ac:dyDescent="0.25">
      <c r="A15" s="748" t="s">
        <v>625</v>
      </c>
      <c r="B15" s="748"/>
      <c r="C15" s="748"/>
      <c r="D15" s="748"/>
      <c r="E15" s="748"/>
      <c r="F15" s="748"/>
      <c r="G15" s="748"/>
    </row>
    <row r="16" spans="1:8" s="215" customFormat="1" ht="33" customHeight="1" x14ac:dyDescent="0.25">
      <c r="A16" s="227" t="s">
        <v>5</v>
      </c>
      <c r="B16" s="227" t="s">
        <v>9</v>
      </c>
      <c r="C16" s="227" t="s">
        <v>7</v>
      </c>
      <c r="D16" s="227" t="s">
        <v>181</v>
      </c>
      <c r="E16" s="228" t="s">
        <v>0</v>
      </c>
      <c r="F16" s="229" t="s">
        <v>1</v>
      </c>
      <c r="G16" s="230" t="s">
        <v>263</v>
      </c>
    </row>
    <row r="17" spans="1:8" s="223" customFormat="1" ht="45" customHeight="1" x14ac:dyDescent="0.2">
      <c r="A17" s="224">
        <v>3</v>
      </c>
      <c r="B17" s="197" t="s">
        <v>634</v>
      </c>
      <c r="C17" s="217" t="s">
        <v>168</v>
      </c>
      <c r="D17" s="217">
        <v>11</v>
      </c>
      <c r="E17" s="225">
        <v>1</v>
      </c>
      <c r="F17" s="219">
        <v>3000000</v>
      </c>
      <c r="G17" s="219">
        <f>D17*E17*F17</f>
        <v>33000000</v>
      </c>
    </row>
    <row r="18" spans="1:8" s="7" customFormat="1" ht="15" x14ac:dyDescent="0.25">
      <c r="A18" s="748" t="s">
        <v>624</v>
      </c>
      <c r="B18" s="748"/>
      <c r="C18" s="748"/>
      <c r="D18" s="748"/>
      <c r="E18" s="748"/>
      <c r="F18" s="748"/>
      <c r="G18" s="748"/>
      <c r="H18" s="729"/>
    </row>
    <row r="19" spans="1:8" s="215" customFormat="1" ht="33" customHeight="1" x14ac:dyDescent="0.25">
      <c r="A19" s="227" t="s">
        <v>5</v>
      </c>
      <c r="B19" s="227" t="s">
        <v>9</v>
      </c>
      <c r="C19" s="227" t="s">
        <v>7</v>
      </c>
      <c r="D19" s="227" t="s">
        <v>181</v>
      </c>
      <c r="E19" s="228" t="s">
        <v>0</v>
      </c>
      <c r="F19" s="229" t="s">
        <v>1</v>
      </c>
      <c r="G19" s="230" t="s">
        <v>263</v>
      </c>
    </row>
    <row r="20" spans="1:8" s="223" customFormat="1" ht="32.25" customHeight="1" x14ac:dyDescent="0.2">
      <c r="A20" s="224">
        <v>4</v>
      </c>
      <c r="B20" s="1021" t="s">
        <v>268</v>
      </c>
      <c r="C20" s="217" t="s">
        <v>13</v>
      </c>
      <c r="D20" s="217">
        <v>1</v>
      </c>
      <c r="E20" s="225">
        <v>1</v>
      </c>
      <c r="F20" s="219">
        <v>63667957.895999998</v>
      </c>
      <c r="G20" s="219">
        <f>E20*F20</f>
        <v>63667957.895999998</v>
      </c>
    </row>
    <row r="21" spans="1:8" s="222" customFormat="1" x14ac:dyDescent="0.25">
      <c r="A21" s="749" t="s">
        <v>10</v>
      </c>
      <c r="B21" s="749"/>
      <c r="C21" s="754" t="s">
        <v>10</v>
      </c>
      <c r="D21" s="754"/>
      <c r="E21" s="754"/>
      <c r="F21" s="754"/>
      <c r="G21" s="221">
        <f>ROUND(SUM(G17:G20),0)</f>
        <v>96667958</v>
      </c>
    </row>
    <row r="22" spans="1:8" ht="15.75" customHeight="1" x14ac:dyDescent="0.25">
      <c r="A22" s="752" t="s">
        <v>633</v>
      </c>
      <c r="B22" s="752"/>
      <c r="C22" s="752"/>
      <c r="D22" s="752"/>
      <c r="E22" s="752"/>
      <c r="F22" s="752"/>
      <c r="G22" s="715">
        <f>G12+G21</f>
        <v>695703529</v>
      </c>
    </row>
    <row r="23" spans="1:8" ht="22.5" customHeight="1" x14ac:dyDescent="0.25">
      <c r="A23" s="22"/>
      <c r="B23" s="22"/>
      <c r="C23" s="22"/>
      <c r="D23" s="22"/>
      <c r="E23" s="22"/>
      <c r="F23" s="22"/>
      <c r="G23" s="21"/>
    </row>
    <row r="24" spans="1:8" ht="12" customHeight="1" x14ac:dyDescent="0.25">
      <c r="C24" s="198"/>
      <c r="E24" s="199" t="s">
        <v>260</v>
      </c>
      <c r="F24" s="200" t="e">
        <f>#REF!+#REF!</f>
        <v>#REF!</v>
      </c>
    </row>
    <row r="25" spans="1:8" ht="12" customHeight="1" x14ac:dyDescent="0.25">
      <c r="C25" s="201" t="s">
        <v>258</v>
      </c>
      <c r="E25" s="199" t="s">
        <v>259</v>
      </c>
      <c r="F25" s="200" t="e">
        <f>#REF!+#REF!+#REF!+#REF!</f>
        <v>#REF!</v>
      </c>
    </row>
    <row r="26" spans="1:8" ht="93" customHeight="1" x14ac:dyDescent="0.25">
      <c r="C26" s="204" t="s">
        <v>618</v>
      </c>
      <c r="E26" s="1"/>
    </row>
    <row r="27" spans="1:8" ht="15.75" customHeight="1" x14ac:dyDescent="0.25">
      <c r="C27" s="203" t="s">
        <v>619</v>
      </c>
      <c r="E27" s="1"/>
    </row>
    <row r="28" spans="1:8" x14ac:dyDescent="0.25">
      <c r="B28" s="209"/>
      <c r="E28" s="4"/>
    </row>
    <row r="29" spans="1:8" x14ac:dyDescent="0.25">
      <c r="B29" s="210"/>
      <c r="E29" s="1"/>
    </row>
    <row r="30" spans="1:8" x14ac:dyDescent="0.25">
      <c r="B30" s="9"/>
    </row>
    <row r="31" spans="1:8" x14ac:dyDescent="0.25">
      <c r="B31" s="9"/>
    </row>
    <row r="32" spans="1:8" x14ac:dyDescent="0.25">
      <c r="B32" s="9"/>
    </row>
  </sheetData>
  <mergeCells count="17">
    <mergeCell ref="A22:F22"/>
    <mergeCell ref="A13:G13"/>
    <mergeCell ref="A14:G14"/>
    <mergeCell ref="A15:G15"/>
    <mergeCell ref="A18:G18"/>
    <mergeCell ref="A21:B21"/>
    <mergeCell ref="C21:F21"/>
    <mergeCell ref="A7:G7"/>
    <mergeCell ref="A8:G8"/>
    <mergeCell ref="A12:B12"/>
    <mergeCell ref="C12:F12"/>
    <mergeCell ref="A1:G1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44A"/>
  </sheetPr>
  <dimension ref="A1:W33"/>
  <sheetViews>
    <sheetView topLeftCell="A18" zoomScaleNormal="100" workbookViewId="0">
      <selection activeCell="H27" sqref="H27:M28"/>
    </sheetView>
  </sheetViews>
  <sheetFormatPr baseColWidth="10" defaultColWidth="11" defaultRowHeight="12.75" x14ac:dyDescent="0.25"/>
  <cols>
    <col min="1" max="1" width="4.42578125" style="1" customWidth="1"/>
    <col min="2" max="2" width="46.140625" style="1" customWidth="1"/>
    <col min="3" max="3" width="10.42578125" style="1" customWidth="1"/>
    <col min="4" max="4" width="7.28515625" style="1" customWidth="1"/>
    <col min="5" max="5" width="8.7109375" style="2" customWidth="1"/>
    <col min="6" max="6" width="11.42578125" style="3" customWidth="1"/>
    <col min="7" max="7" width="14.28515625" style="1" bestFit="1" customWidth="1"/>
    <col min="8" max="8" width="10" style="1" customWidth="1"/>
    <col min="9" max="9" width="7.28515625" style="1" customWidth="1"/>
    <col min="10" max="10" width="8.7109375" style="2" customWidth="1"/>
    <col min="11" max="11" width="11" style="3" customWidth="1"/>
    <col min="12" max="12" width="13" style="1" customWidth="1"/>
    <col min="13" max="13" width="9" style="1" customWidth="1"/>
    <col min="14" max="14" width="7.28515625" style="1" customWidth="1"/>
    <col min="15" max="15" width="8.5703125" style="1" customWidth="1"/>
    <col min="16" max="16" width="11.5703125" style="1" customWidth="1"/>
    <col min="17" max="17" width="12.7109375" style="1" customWidth="1"/>
    <col min="18" max="18" width="7.5703125" style="1" customWidth="1"/>
    <col min="19" max="19" width="6.42578125" style="1" customWidth="1"/>
    <col min="20" max="20" width="8.7109375" style="1" customWidth="1"/>
    <col min="21" max="21" width="11.85546875" style="1" customWidth="1"/>
    <col min="22" max="22" width="14.140625" style="1" customWidth="1"/>
    <col min="23" max="16384" width="11" style="1"/>
  </cols>
  <sheetData>
    <row r="1" spans="1:23" ht="22.5" customHeight="1" x14ac:dyDescent="0.25">
      <c r="A1" s="744" t="s">
        <v>605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</row>
    <row r="2" spans="1:23" ht="21" customHeight="1" x14ac:dyDescent="0.25">
      <c r="A2" s="745" t="s">
        <v>631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</row>
    <row r="3" spans="1:23" ht="20.25" customHeight="1" x14ac:dyDescent="0.25">
      <c r="A3" s="746" t="s">
        <v>265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</row>
    <row r="4" spans="1:23" s="6" customFormat="1" ht="20.25" customHeight="1" x14ac:dyDescent="0.25">
      <c r="A4" s="746" t="s">
        <v>266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</row>
    <row r="5" spans="1:23" s="6" customFormat="1" ht="20.25" customHeight="1" x14ac:dyDescent="0.25">
      <c r="A5" s="746" t="s">
        <v>267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</row>
    <row r="6" spans="1:23" s="7" customFormat="1" ht="18" customHeight="1" x14ac:dyDescent="0.25">
      <c r="A6" s="743" t="s">
        <v>555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</row>
    <row r="7" spans="1:23" s="214" customFormat="1" ht="18" customHeight="1" x14ac:dyDescent="0.25">
      <c r="A7" s="747" t="s">
        <v>557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  <c r="U7" s="747"/>
      <c r="V7" s="747"/>
    </row>
    <row r="8" spans="1:23" s="7" customFormat="1" ht="18" customHeight="1" x14ac:dyDescent="0.25">
      <c r="A8" s="748" t="s">
        <v>624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29"/>
    </row>
    <row r="9" spans="1:23" s="215" customFormat="1" ht="34.5" customHeight="1" x14ac:dyDescent="0.25">
      <c r="A9" s="227" t="s">
        <v>5</v>
      </c>
      <c r="B9" s="227" t="s">
        <v>9</v>
      </c>
      <c r="C9" s="227" t="s">
        <v>7</v>
      </c>
      <c r="D9" s="227" t="s">
        <v>181</v>
      </c>
      <c r="E9" s="228" t="s">
        <v>0</v>
      </c>
      <c r="F9" s="229" t="s">
        <v>1</v>
      </c>
      <c r="G9" s="230" t="s">
        <v>253</v>
      </c>
      <c r="H9" s="227" t="s">
        <v>7</v>
      </c>
      <c r="I9" s="227" t="s">
        <v>181</v>
      </c>
      <c r="J9" s="228" t="s">
        <v>0</v>
      </c>
      <c r="K9" s="229" t="s">
        <v>1</v>
      </c>
      <c r="L9" s="230" t="s">
        <v>263</v>
      </c>
      <c r="M9" s="227" t="s">
        <v>7</v>
      </c>
      <c r="N9" s="227" t="s">
        <v>181</v>
      </c>
      <c r="O9" s="228" t="s">
        <v>0</v>
      </c>
      <c r="P9" s="229" t="s">
        <v>1</v>
      </c>
      <c r="Q9" s="230" t="s">
        <v>264</v>
      </c>
      <c r="R9" s="227" t="s">
        <v>7</v>
      </c>
      <c r="S9" s="227" t="s">
        <v>181</v>
      </c>
      <c r="T9" s="228" t="s">
        <v>0</v>
      </c>
      <c r="U9" s="229" t="s">
        <v>1</v>
      </c>
      <c r="V9" s="230" t="s">
        <v>271</v>
      </c>
    </row>
    <row r="10" spans="1:23" s="5" customFormat="1" ht="24.75" customHeight="1" x14ac:dyDescent="0.25">
      <c r="A10" s="17">
        <v>1</v>
      </c>
      <c r="B10" s="216" t="s">
        <v>269</v>
      </c>
      <c r="C10" s="217" t="s">
        <v>13</v>
      </c>
      <c r="D10" s="217">
        <v>2</v>
      </c>
      <c r="E10" s="17">
        <v>1</v>
      </c>
      <c r="F10" s="714">
        <v>244558850</v>
      </c>
      <c r="G10" s="714">
        <f>F10*E10</f>
        <v>244558850</v>
      </c>
      <c r="H10" s="217" t="s">
        <v>13</v>
      </c>
      <c r="I10" s="217">
        <v>3</v>
      </c>
      <c r="J10" s="17">
        <v>1</v>
      </c>
      <c r="K10" s="219">
        <f>'Cotizaciones intersección'!N43</f>
        <v>541814095</v>
      </c>
      <c r="L10" s="220">
        <f>J10*K10</f>
        <v>541814095</v>
      </c>
      <c r="M10" s="217" t="s">
        <v>13</v>
      </c>
      <c r="N10" s="217">
        <v>3</v>
      </c>
      <c r="O10" s="17">
        <v>1</v>
      </c>
      <c r="P10" s="219">
        <f>K10*1.07</f>
        <v>579741081.64999998</v>
      </c>
      <c r="Q10" s="220">
        <f>O10*P10</f>
        <v>579741081.64999998</v>
      </c>
      <c r="R10" s="217" t="s">
        <v>13</v>
      </c>
      <c r="S10" s="217">
        <v>3</v>
      </c>
      <c r="T10" s="17">
        <v>1</v>
      </c>
      <c r="U10" s="219">
        <f>P10*1.07</f>
        <v>620322957.36549997</v>
      </c>
      <c r="V10" s="220">
        <f>T10*U10</f>
        <v>620322957.36549997</v>
      </c>
    </row>
    <row r="11" spans="1:23" s="5" customFormat="1" ht="30.75" customHeight="1" x14ac:dyDescent="0.25">
      <c r="A11" s="17">
        <v>2</v>
      </c>
      <c r="B11" s="216" t="s">
        <v>270</v>
      </c>
      <c r="C11" s="217" t="s">
        <v>13</v>
      </c>
      <c r="D11" s="217">
        <v>2</v>
      </c>
      <c r="E11" s="17">
        <v>1</v>
      </c>
      <c r="F11" s="714">
        <v>23905245</v>
      </c>
      <c r="G11" s="714">
        <f>F11*E11</f>
        <v>23905245</v>
      </c>
      <c r="H11" s="217" t="s">
        <v>13</v>
      </c>
      <c r="I11" s="217">
        <v>3</v>
      </c>
      <c r="J11" s="17">
        <v>1</v>
      </c>
      <c r="K11" s="219">
        <f>'Interventoría Semaforización'!I31</f>
        <v>57221476</v>
      </c>
      <c r="L11" s="220">
        <f t="shared" ref="L11" si="0">J11*K11</f>
        <v>57221476</v>
      </c>
      <c r="M11" s="217" t="s">
        <v>13</v>
      </c>
      <c r="N11" s="217">
        <v>3</v>
      </c>
      <c r="O11" s="17">
        <v>1</v>
      </c>
      <c r="P11" s="219">
        <f>K11*1.07</f>
        <v>61226979.32</v>
      </c>
      <c r="Q11" s="220">
        <f t="shared" ref="Q11" si="1">O11*P11</f>
        <v>61226979.32</v>
      </c>
      <c r="R11" s="217" t="s">
        <v>13</v>
      </c>
      <c r="S11" s="217">
        <v>3</v>
      </c>
      <c r="T11" s="17">
        <v>1</v>
      </c>
      <c r="U11" s="219">
        <f>P11*1.07</f>
        <v>65512867.872400001</v>
      </c>
      <c r="V11" s="220">
        <f t="shared" ref="V11" si="2">T11*U11</f>
        <v>65512867.872400001</v>
      </c>
    </row>
    <row r="12" spans="1:23" s="222" customFormat="1" x14ac:dyDescent="0.25">
      <c r="A12" s="749" t="s">
        <v>10</v>
      </c>
      <c r="B12" s="749"/>
      <c r="C12" s="749"/>
      <c r="D12" s="749"/>
      <c r="E12" s="749"/>
      <c r="F12" s="749"/>
      <c r="G12" s="221">
        <f>ROUND(SUM(G10:G11),0)</f>
        <v>268464095</v>
      </c>
      <c r="H12" s="750" t="s">
        <v>10</v>
      </c>
      <c r="I12" s="750"/>
      <c r="J12" s="750"/>
      <c r="K12" s="750"/>
      <c r="L12" s="221">
        <f>ROUND(SUM(L10:L11),0)</f>
        <v>599035571</v>
      </c>
      <c r="M12" s="750" t="s">
        <v>10</v>
      </c>
      <c r="N12" s="750"/>
      <c r="O12" s="750"/>
      <c r="P12" s="750"/>
      <c r="Q12" s="221">
        <f>ROUND(SUM(Q10:Q11),0)</f>
        <v>640968061</v>
      </c>
      <c r="R12" s="750" t="s">
        <v>10</v>
      </c>
      <c r="S12" s="750"/>
      <c r="T12" s="750"/>
      <c r="U12" s="750"/>
      <c r="V12" s="221">
        <f>ROUND(SUM(V10:V11),0)</f>
        <v>685835825</v>
      </c>
    </row>
    <row r="13" spans="1:23" s="7" customFormat="1" ht="18.75" customHeight="1" x14ac:dyDescent="0.25">
      <c r="A13" s="743" t="s">
        <v>556</v>
      </c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</row>
    <row r="14" spans="1:23" s="214" customFormat="1" ht="18" customHeight="1" x14ac:dyDescent="0.25">
      <c r="A14" s="747" t="s">
        <v>558</v>
      </c>
      <c r="B14" s="747"/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</row>
    <row r="15" spans="1:23" s="7" customFormat="1" ht="18" customHeight="1" x14ac:dyDescent="0.25">
      <c r="A15" s="748" t="s">
        <v>625</v>
      </c>
      <c r="B15" s="748"/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  <c r="U15" s="748"/>
      <c r="V15" s="748"/>
    </row>
    <row r="16" spans="1:23" s="215" customFormat="1" ht="33" customHeight="1" x14ac:dyDescent="0.25">
      <c r="A16" s="227" t="s">
        <v>5</v>
      </c>
      <c r="B16" s="227" t="s">
        <v>9</v>
      </c>
      <c r="C16" s="227" t="s">
        <v>7</v>
      </c>
      <c r="D16" s="227" t="s">
        <v>181</v>
      </c>
      <c r="E16" s="228" t="s">
        <v>0</v>
      </c>
      <c r="F16" s="229" t="s">
        <v>1</v>
      </c>
      <c r="G16" s="230" t="s">
        <v>253</v>
      </c>
      <c r="H16" s="227" t="s">
        <v>7</v>
      </c>
      <c r="I16" s="227" t="s">
        <v>181</v>
      </c>
      <c r="J16" s="228" t="s">
        <v>0</v>
      </c>
      <c r="K16" s="229" t="s">
        <v>1</v>
      </c>
      <c r="L16" s="230" t="s">
        <v>263</v>
      </c>
      <c r="M16" s="227" t="s">
        <v>7</v>
      </c>
      <c r="N16" s="227" t="s">
        <v>181</v>
      </c>
      <c r="O16" s="228" t="s">
        <v>0</v>
      </c>
      <c r="P16" s="229" t="s">
        <v>1</v>
      </c>
      <c r="Q16" s="230" t="s">
        <v>264</v>
      </c>
      <c r="R16" s="227" t="s">
        <v>7</v>
      </c>
      <c r="S16" s="227" t="s">
        <v>181</v>
      </c>
      <c r="T16" s="228" t="s">
        <v>0</v>
      </c>
      <c r="U16" s="229" t="s">
        <v>1</v>
      </c>
      <c r="V16" s="230" t="s">
        <v>271</v>
      </c>
    </row>
    <row r="17" spans="1:23" s="223" customFormat="1" ht="48" customHeight="1" x14ac:dyDescent="0.2">
      <c r="A17" s="224">
        <v>3</v>
      </c>
      <c r="B17" s="197" t="s">
        <v>634</v>
      </c>
      <c r="C17" s="217" t="s">
        <v>168</v>
      </c>
      <c r="D17" s="217">
        <v>0</v>
      </c>
      <c r="E17" s="225">
        <v>0</v>
      </c>
      <c r="F17" s="226">
        <v>0</v>
      </c>
      <c r="G17" s="219">
        <v>0</v>
      </c>
      <c r="H17" s="217" t="s">
        <v>168</v>
      </c>
      <c r="I17" s="217">
        <v>11</v>
      </c>
      <c r="J17" s="225">
        <v>1</v>
      </c>
      <c r="K17" s="219">
        <v>3000000</v>
      </c>
      <c r="L17" s="219">
        <f>I17*J17*K17</f>
        <v>33000000</v>
      </c>
      <c r="M17" s="217" t="s">
        <v>168</v>
      </c>
      <c r="N17" s="217">
        <v>12</v>
      </c>
      <c r="O17" s="225">
        <v>1</v>
      </c>
      <c r="P17" s="219">
        <f>K17*1.07</f>
        <v>3210000</v>
      </c>
      <c r="Q17" s="219">
        <f>N17*O17*P17</f>
        <v>38520000</v>
      </c>
      <c r="R17" s="217" t="s">
        <v>168</v>
      </c>
      <c r="S17" s="217">
        <v>12</v>
      </c>
      <c r="T17" s="225">
        <v>1</v>
      </c>
      <c r="U17" s="219">
        <f>P17*1.07</f>
        <v>3434700</v>
      </c>
      <c r="V17" s="219">
        <f>S17*T17*U17</f>
        <v>41216400</v>
      </c>
    </row>
    <row r="18" spans="1:23" s="7" customFormat="1" ht="18" customHeight="1" x14ac:dyDescent="0.25">
      <c r="A18" s="748" t="s">
        <v>624</v>
      </c>
      <c r="B18" s="748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29"/>
    </row>
    <row r="19" spans="1:23" s="215" customFormat="1" ht="33" customHeight="1" x14ac:dyDescent="0.25">
      <c r="A19" s="227" t="s">
        <v>5</v>
      </c>
      <c r="B19" s="227" t="s">
        <v>9</v>
      </c>
      <c r="C19" s="227" t="s">
        <v>7</v>
      </c>
      <c r="D19" s="227" t="s">
        <v>181</v>
      </c>
      <c r="E19" s="228" t="s">
        <v>0</v>
      </c>
      <c r="F19" s="229" t="s">
        <v>1</v>
      </c>
      <c r="G19" s="230" t="s">
        <v>253</v>
      </c>
      <c r="H19" s="227" t="s">
        <v>7</v>
      </c>
      <c r="I19" s="227" t="s">
        <v>181</v>
      </c>
      <c r="J19" s="228" t="s">
        <v>0</v>
      </c>
      <c r="K19" s="229" t="s">
        <v>1</v>
      </c>
      <c r="L19" s="230" t="s">
        <v>263</v>
      </c>
      <c r="M19" s="227" t="s">
        <v>7</v>
      </c>
      <c r="N19" s="227" t="s">
        <v>181</v>
      </c>
      <c r="O19" s="228" t="s">
        <v>0</v>
      </c>
      <c r="P19" s="229" t="s">
        <v>1</v>
      </c>
      <c r="Q19" s="230" t="s">
        <v>264</v>
      </c>
      <c r="R19" s="227" t="s">
        <v>7</v>
      </c>
      <c r="S19" s="227" t="s">
        <v>181</v>
      </c>
      <c r="T19" s="228" t="s">
        <v>0</v>
      </c>
      <c r="U19" s="229" t="s">
        <v>1</v>
      </c>
      <c r="V19" s="230" t="s">
        <v>271</v>
      </c>
    </row>
    <row r="20" spans="1:23" s="223" customFormat="1" ht="33" customHeight="1" x14ac:dyDescent="0.2">
      <c r="A20" s="224">
        <v>4</v>
      </c>
      <c r="B20" s="197" t="s">
        <v>268</v>
      </c>
      <c r="C20" s="217" t="s">
        <v>13</v>
      </c>
      <c r="D20" s="217">
        <v>1</v>
      </c>
      <c r="E20" s="225">
        <v>1</v>
      </c>
      <c r="F20" s="713">
        <v>55954373</v>
      </c>
      <c r="G20" s="712">
        <f>E20*F20</f>
        <v>55954373</v>
      </c>
      <c r="H20" s="217" t="s">
        <v>13</v>
      </c>
      <c r="I20" s="217">
        <v>1</v>
      </c>
      <c r="J20" s="225">
        <v>1</v>
      </c>
      <c r="K20" s="219">
        <v>63667957.895999998</v>
      </c>
      <c r="L20" s="219">
        <f>J20*K20</f>
        <v>63667957.895999998</v>
      </c>
      <c r="M20" s="217" t="s">
        <v>13</v>
      </c>
      <c r="N20" s="217">
        <v>1</v>
      </c>
      <c r="O20" s="225">
        <v>1</v>
      </c>
      <c r="P20" s="219">
        <f>K20*1.08</f>
        <v>68761394.52768001</v>
      </c>
      <c r="Q20" s="219">
        <f>O20*P20</f>
        <v>68761394.52768001</v>
      </c>
      <c r="R20" s="217" t="s">
        <v>13</v>
      </c>
      <c r="S20" s="217">
        <v>1</v>
      </c>
      <c r="T20" s="225">
        <v>1</v>
      </c>
      <c r="U20" s="219">
        <f>P20*1.08</f>
        <v>74262306.089894414</v>
      </c>
      <c r="V20" s="219">
        <f>T20*U20</f>
        <v>74262306.089894414</v>
      </c>
    </row>
    <row r="21" spans="1:23" s="222" customFormat="1" x14ac:dyDescent="0.25">
      <c r="A21" s="749" t="s">
        <v>10</v>
      </c>
      <c r="B21" s="749"/>
      <c r="C21" s="749"/>
      <c r="D21" s="749"/>
      <c r="E21" s="749"/>
      <c r="F21" s="749"/>
      <c r="G21" s="221">
        <f>ROUND(SUM(G17:G20),0)</f>
        <v>55954373</v>
      </c>
      <c r="H21" s="754" t="s">
        <v>10</v>
      </c>
      <c r="I21" s="754"/>
      <c r="J21" s="754"/>
      <c r="K21" s="754"/>
      <c r="L21" s="221">
        <f>ROUND(SUM(L17:L20),0)</f>
        <v>96667958</v>
      </c>
      <c r="M21" s="754" t="s">
        <v>10</v>
      </c>
      <c r="N21" s="754"/>
      <c r="O21" s="754"/>
      <c r="P21" s="754"/>
      <c r="Q21" s="221">
        <f>ROUND(SUM(Q17:Q20),0)</f>
        <v>107281395</v>
      </c>
      <c r="R21" s="754" t="s">
        <v>10</v>
      </c>
      <c r="S21" s="754"/>
      <c r="T21" s="754"/>
      <c r="U21" s="754"/>
      <c r="V21" s="221">
        <f>ROUND(SUM(V17:V20),0)</f>
        <v>115478706</v>
      </c>
    </row>
    <row r="22" spans="1:23" ht="15.75" x14ac:dyDescent="0.25">
      <c r="A22" s="752" t="s">
        <v>11</v>
      </c>
      <c r="B22" s="752"/>
      <c r="C22" s="752"/>
      <c r="D22" s="752"/>
      <c r="E22" s="752"/>
      <c r="F22" s="752"/>
      <c r="G22" s="733">
        <f>G12+G21</f>
        <v>324418468</v>
      </c>
      <c r="H22" s="755"/>
      <c r="I22" s="755"/>
      <c r="J22" s="755"/>
      <c r="K22" s="755"/>
      <c r="L22" s="733">
        <f>L12+L21</f>
        <v>695703529</v>
      </c>
      <c r="M22" s="755"/>
      <c r="N22" s="755"/>
      <c r="O22" s="755"/>
      <c r="P22" s="755"/>
      <c r="Q22" s="733">
        <f>Q12+Q21</f>
        <v>748249456</v>
      </c>
      <c r="R22" s="755"/>
      <c r="S22" s="755"/>
      <c r="T22" s="755"/>
      <c r="U22" s="755"/>
      <c r="V22" s="733">
        <f>V12+V21</f>
        <v>801314531</v>
      </c>
    </row>
    <row r="23" spans="1:23" ht="20.25" x14ac:dyDescent="0.25">
      <c r="A23" s="756" t="s">
        <v>12</v>
      </c>
      <c r="B23" s="756"/>
      <c r="C23" s="756"/>
      <c r="D23" s="756"/>
      <c r="E23" s="756"/>
      <c r="F23" s="756"/>
      <c r="G23" s="757">
        <f>SUM(G22:V22)</f>
        <v>2569685984</v>
      </c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</row>
    <row r="24" spans="1:23" ht="22.5" customHeight="1" x14ac:dyDescent="0.25">
      <c r="A24" s="22"/>
      <c r="B24" s="22"/>
      <c r="C24" s="22"/>
      <c r="D24" s="22"/>
      <c r="E24" s="22"/>
      <c r="F24" s="22"/>
      <c r="G24" s="21"/>
      <c r="H24" s="22"/>
      <c r="I24" s="22"/>
      <c r="J24" s="22"/>
      <c r="K24" s="22"/>
      <c r="L24" s="21"/>
      <c r="N24" s="22"/>
      <c r="S24" s="22"/>
    </row>
    <row r="25" spans="1:23" ht="12" customHeight="1" x14ac:dyDescent="0.25">
      <c r="G25" s="19" t="e">
        <f>#REF!+#REF!+#REF!+#REF!+G23</f>
        <v>#REF!</v>
      </c>
      <c r="H25" s="198"/>
      <c r="J25" s="199" t="s">
        <v>260</v>
      </c>
      <c r="K25" s="200" t="e">
        <f>#REF!+#REF!</f>
        <v>#REF!</v>
      </c>
    </row>
    <row r="26" spans="1:23" ht="12" customHeight="1" x14ac:dyDescent="0.25">
      <c r="G26" s="202">
        <v>1025238397</v>
      </c>
      <c r="H26" s="201" t="s">
        <v>258</v>
      </c>
      <c r="J26" s="199" t="s">
        <v>259</v>
      </c>
      <c r="K26" s="200" t="e">
        <f>#REF!+#REF!+#REF!+#REF!</f>
        <v>#REF!</v>
      </c>
    </row>
    <row r="27" spans="1:23" ht="95.25" customHeight="1" x14ac:dyDescent="0.25">
      <c r="G27" s="20"/>
      <c r="H27" s="737"/>
      <c r="I27" s="737"/>
      <c r="J27" s="727" t="s">
        <v>618</v>
      </c>
      <c r="K27" s="738"/>
      <c r="L27" s="737"/>
      <c r="M27" s="737"/>
    </row>
    <row r="28" spans="1:23" ht="15.75" customHeight="1" x14ac:dyDescent="0.25">
      <c r="G28" s="20"/>
      <c r="H28" s="737"/>
      <c r="I28" s="737"/>
      <c r="J28" s="728" t="s">
        <v>619</v>
      </c>
      <c r="K28" s="738"/>
      <c r="L28" s="737"/>
      <c r="M28" s="737"/>
    </row>
    <row r="29" spans="1:23" ht="14.25" x14ac:dyDescent="0.25">
      <c r="B29" s="209"/>
      <c r="E29" s="1"/>
      <c r="G29" s="23"/>
      <c r="H29" s="211"/>
      <c r="I29" s="211"/>
      <c r="J29" s="736"/>
      <c r="K29" s="735"/>
      <c r="L29" s="211"/>
      <c r="M29" s="4"/>
      <c r="O29" s="23"/>
    </row>
    <row r="30" spans="1:23" x14ac:dyDescent="0.25">
      <c r="B30" s="210"/>
      <c r="E30" s="1"/>
      <c r="G30" s="25"/>
      <c r="J30" s="1"/>
      <c r="O30" s="24"/>
      <c r="P30" s="3"/>
    </row>
    <row r="31" spans="1:23" x14ac:dyDescent="0.25">
      <c r="B31" s="9"/>
    </row>
    <row r="32" spans="1:23" x14ac:dyDescent="0.25">
      <c r="B32" s="9"/>
    </row>
    <row r="33" spans="2:2" x14ac:dyDescent="0.25">
      <c r="B33" s="9"/>
    </row>
  </sheetData>
  <mergeCells count="26">
    <mergeCell ref="A6:V6"/>
    <mergeCell ref="A7:V7"/>
    <mergeCell ref="A21:F21"/>
    <mergeCell ref="H21:K21"/>
    <mergeCell ref="M21:P21"/>
    <mergeCell ref="R21:U21"/>
    <mergeCell ref="A14:V14"/>
    <mergeCell ref="A12:F12"/>
    <mergeCell ref="H12:K12"/>
    <mergeCell ref="M12:P12"/>
    <mergeCell ref="R12:U12"/>
    <mergeCell ref="A13:V13"/>
    <mergeCell ref="A8:V8"/>
    <mergeCell ref="A15:V15"/>
    <mergeCell ref="A18:V18"/>
    <mergeCell ref="A1:V1"/>
    <mergeCell ref="A2:V2"/>
    <mergeCell ref="A3:V3"/>
    <mergeCell ref="A4:V4"/>
    <mergeCell ref="A5:V5"/>
    <mergeCell ref="M22:P22"/>
    <mergeCell ref="A23:F23"/>
    <mergeCell ref="H22:K22"/>
    <mergeCell ref="A22:F22"/>
    <mergeCell ref="R22:U22"/>
    <mergeCell ref="G23:V23"/>
  </mergeCells>
  <pageMargins left="0.51181102362204722" right="0.9055118110236221" top="0.74803149606299213" bottom="0.74803149606299213" header="0.31496062992125984" footer="0.31496062992125984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44A"/>
  </sheetPr>
  <dimension ref="A1:H24"/>
  <sheetViews>
    <sheetView topLeftCell="A6" workbookViewId="0">
      <selection activeCell="C16" sqref="C16:C17"/>
    </sheetView>
  </sheetViews>
  <sheetFormatPr baseColWidth="10" defaultRowHeight="15" x14ac:dyDescent="0.25"/>
  <cols>
    <col min="1" max="1" width="6.5703125" style="5" customWidth="1"/>
    <col min="2" max="2" width="60.28515625" style="5" customWidth="1"/>
    <col min="3" max="6" width="19.7109375" style="5" customWidth="1"/>
    <col min="7" max="256" width="11.42578125" style="5"/>
    <col min="257" max="257" width="6.5703125" style="5" customWidth="1"/>
    <col min="258" max="258" width="60.28515625" style="5" customWidth="1"/>
    <col min="259" max="262" width="19.7109375" style="5" customWidth="1"/>
    <col min="263" max="512" width="11.42578125" style="5"/>
    <col min="513" max="513" width="6.5703125" style="5" customWidth="1"/>
    <col min="514" max="514" width="60.28515625" style="5" customWidth="1"/>
    <col min="515" max="518" width="19.7109375" style="5" customWidth="1"/>
    <col min="519" max="768" width="11.42578125" style="5"/>
    <col min="769" max="769" width="6.5703125" style="5" customWidth="1"/>
    <col min="770" max="770" width="60.28515625" style="5" customWidth="1"/>
    <col min="771" max="774" width="19.7109375" style="5" customWidth="1"/>
    <col min="775" max="1024" width="11.42578125" style="5"/>
    <col min="1025" max="1025" width="6.5703125" style="5" customWidth="1"/>
    <col min="1026" max="1026" width="60.28515625" style="5" customWidth="1"/>
    <col min="1027" max="1030" width="19.7109375" style="5" customWidth="1"/>
    <col min="1031" max="1280" width="11.42578125" style="5"/>
    <col min="1281" max="1281" width="6.5703125" style="5" customWidth="1"/>
    <col min="1282" max="1282" width="60.28515625" style="5" customWidth="1"/>
    <col min="1283" max="1286" width="19.7109375" style="5" customWidth="1"/>
    <col min="1287" max="1536" width="11.42578125" style="5"/>
    <col min="1537" max="1537" width="6.5703125" style="5" customWidth="1"/>
    <col min="1538" max="1538" width="60.28515625" style="5" customWidth="1"/>
    <col min="1539" max="1542" width="19.7109375" style="5" customWidth="1"/>
    <col min="1543" max="1792" width="11.42578125" style="5"/>
    <col min="1793" max="1793" width="6.5703125" style="5" customWidth="1"/>
    <col min="1794" max="1794" width="60.28515625" style="5" customWidth="1"/>
    <col min="1795" max="1798" width="19.7109375" style="5" customWidth="1"/>
    <col min="1799" max="2048" width="11.42578125" style="5"/>
    <col min="2049" max="2049" width="6.5703125" style="5" customWidth="1"/>
    <col min="2050" max="2050" width="60.28515625" style="5" customWidth="1"/>
    <col min="2051" max="2054" width="19.7109375" style="5" customWidth="1"/>
    <col min="2055" max="2304" width="11.42578125" style="5"/>
    <col min="2305" max="2305" width="6.5703125" style="5" customWidth="1"/>
    <col min="2306" max="2306" width="60.28515625" style="5" customWidth="1"/>
    <col min="2307" max="2310" width="19.7109375" style="5" customWidth="1"/>
    <col min="2311" max="2560" width="11.42578125" style="5"/>
    <col min="2561" max="2561" width="6.5703125" style="5" customWidth="1"/>
    <col min="2562" max="2562" width="60.28515625" style="5" customWidth="1"/>
    <col min="2563" max="2566" width="19.7109375" style="5" customWidth="1"/>
    <col min="2567" max="2816" width="11.42578125" style="5"/>
    <col min="2817" max="2817" width="6.5703125" style="5" customWidth="1"/>
    <col min="2818" max="2818" width="60.28515625" style="5" customWidth="1"/>
    <col min="2819" max="2822" width="19.7109375" style="5" customWidth="1"/>
    <col min="2823" max="3072" width="11.42578125" style="5"/>
    <col min="3073" max="3073" width="6.5703125" style="5" customWidth="1"/>
    <col min="3074" max="3074" width="60.28515625" style="5" customWidth="1"/>
    <col min="3075" max="3078" width="19.7109375" style="5" customWidth="1"/>
    <col min="3079" max="3328" width="11.42578125" style="5"/>
    <col min="3329" max="3329" width="6.5703125" style="5" customWidth="1"/>
    <col min="3330" max="3330" width="60.28515625" style="5" customWidth="1"/>
    <col min="3331" max="3334" width="19.7109375" style="5" customWidth="1"/>
    <col min="3335" max="3584" width="11.42578125" style="5"/>
    <col min="3585" max="3585" width="6.5703125" style="5" customWidth="1"/>
    <col min="3586" max="3586" width="60.28515625" style="5" customWidth="1"/>
    <col min="3587" max="3590" width="19.7109375" style="5" customWidth="1"/>
    <col min="3591" max="3840" width="11.42578125" style="5"/>
    <col min="3841" max="3841" width="6.5703125" style="5" customWidth="1"/>
    <col min="3842" max="3842" width="60.28515625" style="5" customWidth="1"/>
    <col min="3843" max="3846" width="19.7109375" style="5" customWidth="1"/>
    <col min="3847" max="4096" width="11.42578125" style="5"/>
    <col min="4097" max="4097" width="6.5703125" style="5" customWidth="1"/>
    <col min="4098" max="4098" width="60.28515625" style="5" customWidth="1"/>
    <col min="4099" max="4102" width="19.7109375" style="5" customWidth="1"/>
    <col min="4103" max="4352" width="11.42578125" style="5"/>
    <col min="4353" max="4353" width="6.5703125" style="5" customWidth="1"/>
    <col min="4354" max="4354" width="60.28515625" style="5" customWidth="1"/>
    <col min="4355" max="4358" width="19.7109375" style="5" customWidth="1"/>
    <col min="4359" max="4608" width="11.42578125" style="5"/>
    <col min="4609" max="4609" width="6.5703125" style="5" customWidth="1"/>
    <col min="4610" max="4610" width="60.28515625" style="5" customWidth="1"/>
    <col min="4611" max="4614" width="19.7109375" style="5" customWidth="1"/>
    <col min="4615" max="4864" width="11.42578125" style="5"/>
    <col min="4865" max="4865" width="6.5703125" style="5" customWidth="1"/>
    <col min="4866" max="4866" width="60.28515625" style="5" customWidth="1"/>
    <col min="4867" max="4870" width="19.7109375" style="5" customWidth="1"/>
    <col min="4871" max="5120" width="11.42578125" style="5"/>
    <col min="5121" max="5121" width="6.5703125" style="5" customWidth="1"/>
    <col min="5122" max="5122" width="60.28515625" style="5" customWidth="1"/>
    <col min="5123" max="5126" width="19.7109375" style="5" customWidth="1"/>
    <col min="5127" max="5376" width="11.42578125" style="5"/>
    <col min="5377" max="5377" width="6.5703125" style="5" customWidth="1"/>
    <col min="5378" max="5378" width="60.28515625" style="5" customWidth="1"/>
    <col min="5379" max="5382" width="19.7109375" style="5" customWidth="1"/>
    <col min="5383" max="5632" width="11.42578125" style="5"/>
    <col min="5633" max="5633" width="6.5703125" style="5" customWidth="1"/>
    <col min="5634" max="5634" width="60.28515625" style="5" customWidth="1"/>
    <col min="5635" max="5638" width="19.7109375" style="5" customWidth="1"/>
    <col min="5639" max="5888" width="11.42578125" style="5"/>
    <col min="5889" max="5889" width="6.5703125" style="5" customWidth="1"/>
    <col min="5890" max="5890" width="60.28515625" style="5" customWidth="1"/>
    <col min="5891" max="5894" width="19.7109375" style="5" customWidth="1"/>
    <col min="5895" max="6144" width="11.42578125" style="5"/>
    <col min="6145" max="6145" width="6.5703125" style="5" customWidth="1"/>
    <col min="6146" max="6146" width="60.28515625" style="5" customWidth="1"/>
    <col min="6147" max="6150" width="19.7109375" style="5" customWidth="1"/>
    <col min="6151" max="6400" width="11.42578125" style="5"/>
    <col min="6401" max="6401" width="6.5703125" style="5" customWidth="1"/>
    <col min="6402" max="6402" width="60.28515625" style="5" customWidth="1"/>
    <col min="6403" max="6406" width="19.7109375" style="5" customWidth="1"/>
    <col min="6407" max="6656" width="11.42578125" style="5"/>
    <col min="6657" max="6657" width="6.5703125" style="5" customWidth="1"/>
    <col min="6658" max="6658" width="60.28515625" style="5" customWidth="1"/>
    <col min="6659" max="6662" width="19.7109375" style="5" customWidth="1"/>
    <col min="6663" max="6912" width="11.42578125" style="5"/>
    <col min="6913" max="6913" width="6.5703125" style="5" customWidth="1"/>
    <col min="6914" max="6914" width="60.28515625" style="5" customWidth="1"/>
    <col min="6915" max="6918" width="19.7109375" style="5" customWidth="1"/>
    <col min="6919" max="7168" width="11.42578125" style="5"/>
    <col min="7169" max="7169" width="6.5703125" style="5" customWidth="1"/>
    <col min="7170" max="7170" width="60.28515625" style="5" customWidth="1"/>
    <col min="7171" max="7174" width="19.7109375" style="5" customWidth="1"/>
    <col min="7175" max="7424" width="11.42578125" style="5"/>
    <col min="7425" max="7425" width="6.5703125" style="5" customWidth="1"/>
    <col min="7426" max="7426" width="60.28515625" style="5" customWidth="1"/>
    <col min="7427" max="7430" width="19.7109375" style="5" customWidth="1"/>
    <col min="7431" max="7680" width="11.42578125" style="5"/>
    <col min="7681" max="7681" width="6.5703125" style="5" customWidth="1"/>
    <col min="7682" max="7682" width="60.28515625" style="5" customWidth="1"/>
    <col min="7683" max="7686" width="19.7109375" style="5" customWidth="1"/>
    <col min="7687" max="7936" width="11.42578125" style="5"/>
    <col min="7937" max="7937" width="6.5703125" style="5" customWidth="1"/>
    <col min="7938" max="7938" width="60.28515625" style="5" customWidth="1"/>
    <col min="7939" max="7942" width="19.7109375" style="5" customWidth="1"/>
    <col min="7943" max="8192" width="11.42578125" style="5"/>
    <col min="8193" max="8193" width="6.5703125" style="5" customWidth="1"/>
    <col min="8194" max="8194" width="60.28515625" style="5" customWidth="1"/>
    <col min="8195" max="8198" width="19.7109375" style="5" customWidth="1"/>
    <col min="8199" max="8448" width="11.42578125" style="5"/>
    <col min="8449" max="8449" width="6.5703125" style="5" customWidth="1"/>
    <col min="8450" max="8450" width="60.28515625" style="5" customWidth="1"/>
    <col min="8451" max="8454" width="19.7109375" style="5" customWidth="1"/>
    <col min="8455" max="8704" width="11.42578125" style="5"/>
    <col min="8705" max="8705" width="6.5703125" style="5" customWidth="1"/>
    <col min="8706" max="8706" width="60.28515625" style="5" customWidth="1"/>
    <col min="8707" max="8710" width="19.7109375" style="5" customWidth="1"/>
    <col min="8711" max="8960" width="11.42578125" style="5"/>
    <col min="8961" max="8961" width="6.5703125" style="5" customWidth="1"/>
    <col min="8962" max="8962" width="60.28515625" style="5" customWidth="1"/>
    <col min="8963" max="8966" width="19.7109375" style="5" customWidth="1"/>
    <col min="8967" max="9216" width="11.42578125" style="5"/>
    <col min="9217" max="9217" width="6.5703125" style="5" customWidth="1"/>
    <col min="9218" max="9218" width="60.28515625" style="5" customWidth="1"/>
    <col min="9219" max="9222" width="19.7109375" style="5" customWidth="1"/>
    <col min="9223" max="9472" width="11.42578125" style="5"/>
    <col min="9473" max="9473" width="6.5703125" style="5" customWidth="1"/>
    <col min="9474" max="9474" width="60.28515625" style="5" customWidth="1"/>
    <col min="9475" max="9478" width="19.7109375" style="5" customWidth="1"/>
    <col min="9479" max="9728" width="11.42578125" style="5"/>
    <col min="9729" max="9729" width="6.5703125" style="5" customWidth="1"/>
    <col min="9730" max="9730" width="60.28515625" style="5" customWidth="1"/>
    <col min="9731" max="9734" width="19.7109375" style="5" customWidth="1"/>
    <col min="9735" max="9984" width="11.42578125" style="5"/>
    <col min="9985" max="9985" width="6.5703125" style="5" customWidth="1"/>
    <col min="9986" max="9986" width="60.28515625" style="5" customWidth="1"/>
    <col min="9987" max="9990" width="19.7109375" style="5" customWidth="1"/>
    <col min="9991" max="10240" width="11.42578125" style="5"/>
    <col min="10241" max="10241" width="6.5703125" style="5" customWidth="1"/>
    <col min="10242" max="10242" width="60.28515625" style="5" customWidth="1"/>
    <col min="10243" max="10246" width="19.7109375" style="5" customWidth="1"/>
    <col min="10247" max="10496" width="11.42578125" style="5"/>
    <col min="10497" max="10497" width="6.5703125" style="5" customWidth="1"/>
    <col min="10498" max="10498" width="60.28515625" style="5" customWidth="1"/>
    <col min="10499" max="10502" width="19.7109375" style="5" customWidth="1"/>
    <col min="10503" max="10752" width="11.42578125" style="5"/>
    <col min="10753" max="10753" width="6.5703125" style="5" customWidth="1"/>
    <col min="10754" max="10754" width="60.28515625" style="5" customWidth="1"/>
    <col min="10755" max="10758" width="19.7109375" style="5" customWidth="1"/>
    <col min="10759" max="11008" width="11.42578125" style="5"/>
    <col min="11009" max="11009" width="6.5703125" style="5" customWidth="1"/>
    <col min="11010" max="11010" width="60.28515625" style="5" customWidth="1"/>
    <col min="11011" max="11014" width="19.7109375" style="5" customWidth="1"/>
    <col min="11015" max="11264" width="11.42578125" style="5"/>
    <col min="11265" max="11265" width="6.5703125" style="5" customWidth="1"/>
    <col min="11266" max="11266" width="60.28515625" style="5" customWidth="1"/>
    <col min="11267" max="11270" width="19.7109375" style="5" customWidth="1"/>
    <col min="11271" max="11520" width="11.42578125" style="5"/>
    <col min="11521" max="11521" width="6.5703125" style="5" customWidth="1"/>
    <col min="11522" max="11522" width="60.28515625" style="5" customWidth="1"/>
    <col min="11523" max="11526" width="19.7109375" style="5" customWidth="1"/>
    <col min="11527" max="11776" width="11.42578125" style="5"/>
    <col min="11777" max="11777" width="6.5703125" style="5" customWidth="1"/>
    <col min="11778" max="11778" width="60.28515625" style="5" customWidth="1"/>
    <col min="11779" max="11782" width="19.7109375" style="5" customWidth="1"/>
    <col min="11783" max="12032" width="11.42578125" style="5"/>
    <col min="12033" max="12033" width="6.5703125" style="5" customWidth="1"/>
    <col min="12034" max="12034" width="60.28515625" style="5" customWidth="1"/>
    <col min="12035" max="12038" width="19.7109375" style="5" customWidth="1"/>
    <col min="12039" max="12288" width="11.42578125" style="5"/>
    <col min="12289" max="12289" width="6.5703125" style="5" customWidth="1"/>
    <col min="12290" max="12290" width="60.28515625" style="5" customWidth="1"/>
    <col min="12291" max="12294" width="19.7109375" style="5" customWidth="1"/>
    <col min="12295" max="12544" width="11.42578125" style="5"/>
    <col min="12545" max="12545" width="6.5703125" style="5" customWidth="1"/>
    <col min="12546" max="12546" width="60.28515625" style="5" customWidth="1"/>
    <col min="12547" max="12550" width="19.7109375" style="5" customWidth="1"/>
    <col min="12551" max="12800" width="11.42578125" style="5"/>
    <col min="12801" max="12801" width="6.5703125" style="5" customWidth="1"/>
    <col min="12802" max="12802" width="60.28515625" style="5" customWidth="1"/>
    <col min="12803" max="12806" width="19.7109375" style="5" customWidth="1"/>
    <col min="12807" max="13056" width="11.42578125" style="5"/>
    <col min="13057" max="13057" width="6.5703125" style="5" customWidth="1"/>
    <col min="13058" max="13058" width="60.28515625" style="5" customWidth="1"/>
    <col min="13059" max="13062" width="19.7109375" style="5" customWidth="1"/>
    <col min="13063" max="13312" width="11.42578125" style="5"/>
    <col min="13313" max="13313" width="6.5703125" style="5" customWidth="1"/>
    <col min="13314" max="13314" width="60.28515625" style="5" customWidth="1"/>
    <col min="13315" max="13318" width="19.7109375" style="5" customWidth="1"/>
    <col min="13319" max="13568" width="11.42578125" style="5"/>
    <col min="13569" max="13569" width="6.5703125" style="5" customWidth="1"/>
    <col min="13570" max="13570" width="60.28515625" style="5" customWidth="1"/>
    <col min="13571" max="13574" width="19.7109375" style="5" customWidth="1"/>
    <col min="13575" max="13824" width="11.42578125" style="5"/>
    <col min="13825" max="13825" width="6.5703125" style="5" customWidth="1"/>
    <col min="13826" max="13826" width="60.28515625" style="5" customWidth="1"/>
    <col min="13827" max="13830" width="19.7109375" style="5" customWidth="1"/>
    <col min="13831" max="14080" width="11.42578125" style="5"/>
    <col min="14081" max="14081" width="6.5703125" style="5" customWidth="1"/>
    <col min="14082" max="14082" width="60.28515625" style="5" customWidth="1"/>
    <col min="14083" max="14086" width="19.7109375" style="5" customWidth="1"/>
    <col min="14087" max="14336" width="11.42578125" style="5"/>
    <col min="14337" max="14337" width="6.5703125" style="5" customWidth="1"/>
    <col min="14338" max="14338" width="60.28515625" style="5" customWidth="1"/>
    <col min="14339" max="14342" width="19.7109375" style="5" customWidth="1"/>
    <col min="14343" max="14592" width="11.42578125" style="5"/>
    <col min="14593" max="14593" width="6.5703125" style="5" customWidth="1"/>
    <col min="14594" max="14594" width="60.28515625" style="5" customWidth="1"/>
    <col min="14595" max="14598" width="19.7109375" style="5" customWidth="1"/>
    <col min="14599" max="14848" width="11.42578125" style="5"/>
    <col min="14849" max="14849" width="6.5703125" style="5" customWidth="1"/>
    <col min="14850" max="14850" width="60.28515625" style="5" customWidth="1"/>
    <col min="14851" max="14854" width="19.7109375" style="5" customWidth="1"/>
    <col min="14855" max="15104" width="11.42578125" style="5"/>
    <col min="15105" max="15105" width="6.5703125" style="5" customWidth="1"/>
    <col min="15106" max="15106" width="60.28515625" style="5" customWidth="1"/>
    <col min="15107" max="15110" width="19.7109375" style="5" customWidth="1"/>
    <col min="15111" max="15360" width="11.42578125" style="5"/>
    <col min="15361" max="15361" width="6.5703125" style="5" customWidth="1"/>
    <col min="15362" max="15362" width="60.28515625" style="5" customWidth="1"/>
    <col min="15363" max="15366" width="19.7109375" style="5" customWidth="1"/>
    <col min="15367" max="15616" width="11.42578125" style="5"/>
    <col min="15617" max="15617" width="6.5703125" style="5" customWidth="1"/>
    <col min="15618" max="15618" width="60.28515625" style="5" customWidth="1"/>
    <col min="15619" max="15622" width="19.7109375" style="5" customWidth="1"/>
    <col min="15623" max="15872" width="11.42578125" style="5"/>
    <col min="15873" max="15873" width="6.5703125" style="5" customWidth="1"/>
    <col min="15874" max="15874" width="60.28515625" style="5" customWidth="1"/>
    <col min="15875" max="15878" width="19.7109375" style="5" customWidth="1"/>
    <col min="15879" max="16128" width="11.42578125" style="5"/>
    <col min="16129" max="16129" width="6.5703125" style="5" customWidth="1"/>
    <col min="16130" max="16130" width="60.28515625" style="5" customWidth="1"/>
    <col min="16131" max="16134" width="19.7109375" style="5" customWidth="1"/>
    <col min="16135" max="16384" width="11.42578125" style="5"/>
  </cols>
  <sheetData>
    <row r="1" spans="1:8" ht="39" customHeight="1" x14ac:dyDescent="0.25">
      <c r="A1" s="760" t="s">
        <v>606</v>
      </c>
      <c r="B1" s="760"/>
      <c r="C1" s="760"/>
      <c r="D1" s="760"/>
      <c r="E1" s="760"/>
      <c r="F1" s="760"/>
    </row>
    <row r="2" spans="1:8" ht="21" customHeight="1" x14ac:dyDescent="0.25">
      <c r="A2" s="761" t="s">
        <v>559</v>
      </c>
      <c r="B2" s="761"/>
      <c r="C2" s="761"/>
      <c r="D2" s="761"/>
      <c r="E2" s="761"/>
      <c r="F2" s="761"/>
    </row>
    <row r="3" spans="1:8" s="1" customFormat="1" ht="17.25" customHeight="1" x14ac:dyDescent="0.25">
      <c r="A3" s="762" t="s">
        <v>265</v>
      </c>
      <c r="B3" s="763"/>
      <c r="C3" s="763"/>
      <c r="D3" s="763"/>
      <c r="E3" s="763"/>
      <c r="F3" s="764"/>
      <c r="H3" s="563"/>
    </row>
    <row r="4" spans="1:8" s="1" customFormat="1" ht="17.25" customHeight="1" x14ac:dyDescent="0.25">
      <c r="A4" s="762" t="s">
        <v>266</v>
      </c>
      <c r="B4" s="763"/>
      <c r="C4" s="763"/>
      <c r="D4" s="763"/>
      <c r="E4" s="763"/>
      <c r="F4" s="764"/>
      <c r="H4" s="563"/>
    </row>
    <row r="5" spans="1:8" s="1" customFormat="1" ht="17.25" customHeight="1" x14ac:dyDescent="0.25">
      <c r="A5" s="762" t="s">
        <v>267</v>
      </c>
      <c r="B5" s="763"/>
      <c r="C5" s="763"/>
      <c r="D5" s="763"/>
      <c r="E5" s="763"/>
      <c r="F5" s="764"/>
      <c r="H5" s="563"/>
    </row>
    <row r="6" spans="1:8" ht="15.75" x14ac:dyDescent="0.25">
      <c r="A6" s="743" t="s">
        <v>555</v>
      </c>
      <c r="B6" s="743"/>
      <c r="C6" s="743"/>
      <c r="D6" s="743"/>
      <c r="E6" s="743"/>
      <c r="F6" s="743"/>
    </row>
    <row r="7" spans="1:8" x14ac:dyDescent="0.25">
      <c r="A7" s="564" t="s">
        <v>5</v>
      </c>
      <c r="B7" s="565" t="s">
        <v>4</v>
      </c>
      <c r="C7" s="566" t="s">
        <v>253</v>
      </c>
      <c r="D7" s="566" t="s">
        <v>263</v>
      </c>
      <c r="E7" s="566" t="s">
        <v>264</v>
      </c>
      <c r="F7" s="566" t="s">
        <v>271</v>
      </c>
    </row>
    <row r="8" spans="1:8" ht="42" customHeight="1" x14ac:dyDescent="0.25">
      <c r="A8" s="567">
        <v>1</v>
      </c>
      <c r="B8" s="568" t="s">
        <v>557</v>
      </c>
      <c r="C8" s="569">
        <f>'Ppto Detallado 2016 - 2019'!G12</f>
        <v>268464095</v>
      </c>
      <c r="D8" s="569">
        <f>'Ppto Detallado 2016 - 2019'!L12</f>
        <v>599035571</v>
      </c>
      <c r="E8" s="569">
        <f>'Ppto Detallado 2016 - 2019'!Q12</f>
        <v>640968061</v>
      </c>
      <c r="F8" s="569">
        <f>'Ppto Detallado 2016 - 2019'!V12</f>
        <v>685835825</v>
      </c>
    </row>
    <row r="9" spans="1:8" ht="15.75" x14ac:dyDescent="0.25">
      <c r="A9" s="743" t="s">
        <v>556</v>
      </c>
      <c r="B9" s="743"/>
      <c r="C9" s="743"/>
      <c r="D9" s="743"/>
      <c r="E9" s="743"/>
      <c r="F9" s="743"/>
    </row>
    <row r="10" spans="1:8" x14ac:dyDescent="0.25">
      <c r="A10" s="564" t="s">
        <v>5</v>
      </c>
      <c r="B10" s="565" t="s">
        <v>4</v>
      </c>
      <c r="C10" s="566" t="s">
        <v>253</v>
      </c>
      <c r="D10" s="566" t="s">
        <v>263</v>
      </c>
      <c r="E10" s="566" t="s">
        <v>264</v>
      </c>
      <c r="F10" s="566" t="s">
        <v>271</v>
      </c>
    </row>
    <row r="11" spans="1:8" ht="48" customHeight="1" x14ac:dyDescent="0.25">
      <c r="A11" s="567">
        <v>2</v>
      </c>
      <c r="B11" s="568" t="s">
        <v>558</v>
      </c>
      <c r="C11" s="569">
        <f>'Ppto Detallado 2016 - 2019'!G21</f>
        <v>55954373</v>
      </c>
      <c r="D11" s="569">
        <f>'Ppto Detallado 2016 - 2019'!L21</f>
        <v>96667958</v>
      </c>
      <c r="E11" s="569">
        <f>'Ppto Detallado 2016 - 2019'!Q21</f>
        <v>107281395</v>
      </c>
      <c r="F11" s="569">
        <f>'Ppto Detallado 2016 - 2019'!V21</f>
        <v>115478706</v>
      </c>
    </row>
    <row r="12" spans="1:8" x14ac:dyDescent="0.25">
      <c r="A12" s="759" t="s">
        <v>6</v>
      </c>
      <c r="B12" s="759"/>
      <c r="C12" s="570">
        <f>ROUND(SUM(C8:C11),0)</f>
        <v>324418468</v>
      </c>
      <c r="D12" s="570">
        <f>ROUND(SUM(D8:D11),0)</f>
        <v>695703529</v>
      </c>
      <c r="E12" s="570">
        <f>ROUND(SUM(E8:E11),0)</f>
        <v>748249456</v>
      </c>
      <c r="F12" s="570">
        <f>ROUND(SUM(F8:F11),0)</f>
        <v>801314531</v>
      </c>
    </row>
    <row r="13" spans="1:8" x14ac:dyDescent="0.25">
      <c r="A13" s="758" t="s">
        <v>256</v>
      </c>
      <c r="B13" s="758"/>
      <c r="C13" s="758"/>
      <c r="D13" s="758"/>
      <c r="E13" s="758"/>
      <c r="F13" s="571">
        <f>+SUM(C12:F12)</f>
        <v>2569685984</v>
      </c>
    </row>
    <row r="15" spans="1:8" ht="77.25" customHeight="1" x14ac:dyDescent="0.25">
      <c r="A15" s="1"/>
      <c r="B15" s="1"/>
      <c r="C15" s="2"/>
      <c r="D15" s="3"/>
      <c r="E15" s="19"/>
      <c r="F15" s="198"/>
    </row>
    <row r="16" spans="1:8" ht="15.75" x14ac:dyDescent="0.25">
      <c r="A16" s="1"/>
      <c r="B16" s="1"/>
      <c r="C16" s="204" t="s">
        <v>618</v>
      </c>
      <c r="E16" s="572"/>
      <c r="F16" s="572"/>
    </row>
    <row r="17" spans="1:6" x14ac:dyDescent="0.25">
      <c r="A17" s="1"/>
      <c r="B17" s="1"/>
      <c r="C17" s="203" t="s">
        <v>619</v>
      </c>
      <c r="D17" s="572"/>
      <c r="E17" s="572"/>
      <c r="F17" s="572"/>
    </row>
    <row r="18" spans="1:6" s="1" customFormat="1" ht="12.75" x14ac:dyDescent="0.25">
      <c r="A18" s="23"/>
      <c r="C18" s="2"/>
      <c r="D18" s="3"/>
    </row>
    <row r="19" spans="1:6" s="1" customFormat="1" ht="12.75" x14ac:dyDescent="0.25">
      <c r="A19" s="574"/>
      <c r="C19" s="2"/>
      <c r="D19" s="3"/>
    </row>
    <row r="20" spans="1:6" x14ac:dyDescent="0.25">
      <c r="B20" s="1"/>
    </row>
    <row r="21" spans="1:6" x14ac:dyDescent="0.25">
      <c r="B21" s="1"/>
    </row>
    <row r="22" spans="1:6" x14ac:dyDescent="0.25">
      <c r="B22" s="1"/>
    </row>
    <row r="23" spans="1:6" x14ac:dyDescent="0.25">
      <c r="B23" s="1"/>
    </row>
    <row r="24" spans="1:6" x14ac:dyDescent="0.25">
      <c r="B24" s="1"/>
    </row>
  </sheetData>
  <mergeCells count="9">
    <mergeCell ref="A13:E13"/>
    <mergeCell ref="A9:F9"/>
    <mergeCell ref="A12:B12"/>
    <mergeCell ref="A6:F6"/>
    <mergeCell ref="A1:F1"/>
    <mergeCell ref="A2:F2"/>
    <mergeCell ref="A3:F3"/>
    <mergeCell ref="A4:F4"/>
    <mergeCell ref="A5:F5"/>
  </mergeCells>
  <pageMargins left="0.51181102362204722" right="0.9055118110236221" top="0.74803149606299213" bottom="0.74803149606299213" header="0.31496062992125984" footer="0.31496062992125984"/>
  <pageSetup paperSize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44A"/>
  </sheetPr>
  <dimension ref="A1:O39"/>
  <sheetViews>
    <sheetView topLeftCell="A18" workbookViewId="0">
      <selection activeCell="E29" sqref="E29:E30"/>
    </sheetView>
  </sheetViews>
  <sheetFormatPr baseColWidth="10" defaultRowHeight="15" x14ac:dyDescent="0.25"/>
  <cols>
    <col min="1" max="1" width="6.28515625" style="5" customWidth="1"/>
    <col min="2" max="2" width="45" style="5" customWidth="1"/>
    <col min="3" max="3" width="10.7109375" style="5" customWidth="1"/>
    <col min="4" max="4" width="8.140625" style="5" customWidth="1"/>
    <col min="5" max="5" width="10" style="5" customWidth="1"/>
    <col min="6" max="15" width="8.140625" style="5" customWidth="1"/>
    <col min="16" max="256" width="11.42578125" style="5"/>
    <col min="257" max="257" width="6.28515625" style="5" customWidth="1"/>
    <col min="258" max="258" width="45" style="5" customWidth="1"/>
    <col min="259" max="259" width="10.7109375" style="5" customWidth="1"/>
    <col min="260" max="271" width="8.140625" style="5" customWidth="1"/>
    <col min="272" max="512" width="11.42578125" style="5"/>
    <col min="513" max="513" width="6.28515625" style="5" customWidth="1"/>
    <col min="514" max="514" width="45" style="5" customWidth="1"/>
    <col min="515" max="515" width="10.7109375" style="5" customWidth="1"/>
    <col min="516" max="527" width="8.140625" style="5" customWidth="1"/>
    <col min="528" max="768" width="11.42578125" style="5"/>
    <col min="769" max="769" width="6.28515625" style="5" customWidth="1"/>
    <col min="770" max="770" width="45" style="5" customWidth="1"/>
    <col min="771" max="771" width="10.7109375" style="5" customWidth="1"/>
    <col min="772" max="783" width="8.140625" style="5" customWidth="1"/>
    <col min="784" max="1024" width="11.42578125" style="5"/>
    <col min="1025" max="1025" width="6.28515625" style="5" customWidth="1"/>
    <col min="1026" max="1026" width="45" style="5" customWidth="1"/>
    <col min="1027" max="1027" width="10.7109375" style="5" customWidth="1"/>
    <col min="1028" max="1039" width="8.140625" style="5" customWidth="1"/>
    <col min="1040" max="1280" width="11.42578125" style="5"/>
    <col min="1281" max="1281" width="6.28515625" style="5" customWidth="1"/>
    <col min="1282" max="1282" width="45" style="5" customWidth="1"/>
    <col min="1283" max="1283" width="10.7109375" style="5" customWidth="1"/>
    <col min="1284" max="1295" width="8.140625" style="5" customWidth="1"/>
    <col min="1296" max="1536" width="11.42578125" style="5"/>
    <col min="1537" max="1537" width="6.28515625" style="5" customWidth="1"/>
    <col min="1538" max="1538" width="45" style="5" customWidth="1"/>
    <col min="1539" max="1539" width="10.7109375" style="5" customWidth="1"/>
    <col min="1540" max="1551" width="8.140625" style="5" customWidth="1"/>
    <col min="1552" max="1792" width="11.42578125" style="5"/>
    <col min="1793" max="1793" width="6.28515625" style="5" customWidth="1"/>
    <col min="1794" max="1794" width="45" style="5" customWidth="1"/>
    <col min="1795" max="1795" width="10.7109375" style="5" customWidth="1"/>
    <col min="1796" max="1807" width="8.140625" style="5" customWidth="1"/>
    <col min="1808" max="2048" width="11.42578125" style="5"/>
    <col min="2049" max="2049" width="6.28515625" style="5" customWidth="1"/>
    <col min="2050" max="2050" width="45" style="5" customWidth="1"/>
    <col min="2051" max="2051" width="10.7109375" style="5" customWidth="1"/>
    <col min="2052" max="2063" width="8.140625" style="5" customWidth="1"/>
    <col min="2064" max="2304" width="11.42578125" style="5"/>
    <col min="2305" max="2305" width="6.28515625" style="5" customWidth="1"/>
    <col min="2306" max="2306" width="45" style="5" customWidth="1"/>
    <col min="2307" max="2307" width="10.7109375" style="5" customWidth="1"/>
    <col min="2308" max="2319" width="8.140625" style="5" customWidth="1"/>
    <col min="2320" max="2560" width="11.42578125" style="5"/>
    <col min="2561" max="2561" width="6.28515625" style="5" customWidth="1"/>
    <col min="2562" max="2562" width="45" style="5" customWidth="1"/>
    <col min="2563" max="2563" width="10.7109375" style="5" customWidth="1"/>
    <col min="2564" max="2575" width="8.140625" style="5" customWidth="1"/>
    <col min="2576" max="2816" width="11.42578125" style="5"/>
    <col min="2817" max="2817" width="6.28515625" style="5" customWidth="1"/>
    <col min="2818" max="2818" width="45" style="5" customWidth="1"/>
    <col min="2819" max="2819" width="10.7109375" style="5" customWidth="1"/>
    <col min="2820" max="2831" width="8.140625" style="5" customWidth="1"/>
    <col min="2832" max="3072" width="11.42578125" style="5"/>
    <col min="3073" max="3073" width="6.28515625" style="5" customWidth="1"/>
    <col min="3074" max="3074" width="45" style="5" customWidth="1"/>
    <col min="3075" max="3075" width="10.7109375" style="5" customWidth="1"/>
    <col min="3076" max="3087" width="8.140625" style="5" customWidth="1"/>
    <col min="3088" max="3328" width="11.42578125" style="5"/>
    <col min="3329" max="3329" width="6.28515625" style="5" customWidth="1"/>
    <col min="3330" max="3330" width="45" style="5" customWidth="1"/>
    <col min="3331" max="3331" width="10.7109375" style="5" customWidth="1"/>
    <col min="3332" max="3343" width="8.140625" style="5" customWidth="1"/>
    <col min="3344" max="3584" width="11.42578125" style="5"/>
    <col min="3585" max="3585" width="6.28515625" style="5" customWidth="1"/>
    <col min="3586" max="3586" width="45" style="5" customWidth="1"/>
    <col min="3587" max="3587" width="10.7109375" style="5" customWidth="1"/>
    <col min="3588" max="3599" width="8.140625" style="5" customWidth="1"/>
    <col min="3600" max="3840" width="11.42578125" style="5"/>
    <col min="3841" max="3841" width="6.28515625" style="5" customWidth="1"/>
    <col min="3842" max="3842" width="45" style="5" customWidth="1"/>
    <col min="3843" max="3843" width="10.7109375" style="5" customWidth="1"/>
    <col min="3844" max="3855" width="8.140625" style="5" customWidth="1"/>
    <col min="3856" max="4096" width="11.42578125" style="5"/>
    <col min="4097" max="4097" width="6.28515625" style="5" customWidth="1"/>
    <col min="4098" max="4098" width="45" style="5" customWidth="1"/>
    <col min="4099" max="4099" width="10.7109375" style="5" customWidth="1"/>
    <col min="4100" max="4111" width="8.140625" style="5" customWidth="1"/>
    <col min="4112" max="4352" width="11.42578125" style="5"/>
    <col min="4353" max="4353" width="6.28515625" style="5" customWidth="1"/>
    <col min="4354" max="4354" width="45" style="5" customWidth="1"/>
    <col min="4355" max="4355" width="10.7109375" style="5" customWidth="1"/>
    <col min="4356" max="4367" width="8.140625" style="5" customWidth="1"/>
    <col min="4368" max="4608" width="11.42578125" style="5"/>
    <col min="4609" max="4609" width="6.28515625" style="5" customWidth="1"/>
    <col min="4610" max="4610" width="45" style="5" customWidth="1"/>
    <col min="4611" max="4611" width="10.7109375" style="5" customWidth="1"/>
    <col min="4612" max="4623" width="8.140625" style="5" customWidth="1"/>
    <col min="4624" max="4864" width="11.42578125" style="5"/>
    <col min="4865" max="4865" width="6.28515625" style="5" customWidth="1"/>
    <col min="4866" max="4866" width="45" style="5" customWidth="1"/>
    <col min="4867" max="4867" width="10.7109375" style="5" customWidth="1"/>
    <col min="4868" max="4879" width="8.140625" style="5" customWidth="1"/>
    <col min="4880" max="5120" width="11.42578125" style="5"/>
    <col min="5121" max="5121" width="6.28515625" style="5" customWidth="1"/>
    <col min="5122" max="5122" width="45" style="5" customWidth="1"/>
    <col min="5123" max="5123" width="10.7109375" style="5" customWidth="1"/>
    <col min="5124" max="5135" width="8.140625" style="5" customWidth="1"/>
    <col min="5136" max="5376" width="11.42578125" style="5"/>
    <col min="5377" max="5377" width="6.28515625" style="5" customWidth="1"/>
    <col min="5378" max="5378" width="45" style="5" customWidth="1"/>
    <col min="5379" max="5379" width="10.7109375" style="5" customWidth="1"/>
    <col min="5380" max="5391" width="8.140625" style="5" customWidth="1"/>
    <col min="5392" max="5632" width="11.42578125" style="5"/>
    <col min="5633" max="5633" width="6.28515625" style="5" customWidth="1"/>
    <col min="5634" max="5634" width="45" style="5" customWidth="1"/>
    <col min="5635" max="5635" width="10.7109375" style="5" customWidth="1"/>
    <col min="5636" max="5647" width="8.140625" style="5" customWidth="1"/>
    <col min="5648" max="5888" width="11.42578125" style="5"/>
    <col min="5889" max="5889" width="6.28515625" style="5" customWidth="1"/>
    <col min="5890" max="5890" width="45" style="5" customWidth="1"/>
    <col min="5891" max="5891" width="10.7109375" style="5" customWidth="1"/>
    <col min="5892" max="5903" width="8.140625" style="5" customWidth="1"/>
    <col min="5904" max="6144" width="11.42578125" style="5"/>
    <col min="6145" max="6145" width="6.28515625" style="5" customWidth="1"/>
    <col min="6146" max="6146" width="45" style="5" customWidth="1"/>
    <col min="6147" max="6147" width="10.7109375" style="5" customWidth="1"/>
    <col min="6148" max="6159" width="8.140625" style="5" customWidth="1"/>
    <col min="6160" max="6400" width="11.42578125" style="5"/>
    <col min="6401" max="6401" width="6.28515625" style="5" customWidth="1"/>
    <col min="6402" max="6402" width="45" style="5" customWidth="1"/>
    <col min="6403" max="6403" width="10.7109375" style="5" customWidth="1"/>
    <col min="6404" max="6415" width="8.140625" style="5" customWidth="1"/>
    <col min="6416" max="6656" width="11.42578125" style="5"/>
    <col min="6657" max="6657" width="6.28515625" style="5" customWidth="1"/>
    <col min="6658" max="6658" width="45" style="5" customWidth="1"/>
    <col min="6659" max="6659" width="10.7109375" style="5" customWidth="1"/>
    <col min="6660" max="6671" width="8.140625" style="5" customWidth="1"/>
    <col min="6672" max="6912" width="11.42578125" style="5"/>
    <col min="6913" max="6913" width="6.28515625" style="5" customWidth="1"/>
    <col min="6914" max="6914" width="45" style="5" customWidth="1"/>
    <col min="6915" max="6915" width="10.7109375" style="5" customWidth="1"/>
    <col min="6916" max="6927" width="8.140625" style="5" customWidth="1"/>
    <col min="6928" max="7168" width="11.42578125" style="5"/>
    <col min="7169" max="7169" width="6.28515625" style="5" customWidth="1"/>
    <col min="7170" max="7170" width="45" style="5" customWidth="1"/>
    <col min="7171" max="7171" width="10.7109375" style="5" customWidth="1"/>
    <col min="7172" max="7183" width="8.140625" style="5" customWidth="1"/>
    <col min="7184" max="7424" width="11.42578125" style="5"/>
    <col min="7425" max="7425" width="6.28515625" style="5" customWidth="1"/>
    <col min="7426" max="7426" width="45" style="5" customWidth="1"/>
    <col min="7427" max="7427" width="10.7109375" style="5" customWidth="1"/>
    <col min="7428" max="7439" width="8.140625" style="5" customWidth="1"/>
    <col min="7440" max="7680" width="11.42578125" style="5"/>
    <col min="7681" max="7681" width="6.28515625" style="5" customWidth="1"/>
    <col min="7682" max="7682" width="45" style="5" customWidth="1"/>
    <col min="7683" max="7683" width="10.7109375" style="5" customWidth="1"/>
    <col min="7684" max="7695" width="8.140625" style="5" customWidth="1"/>
    <col min="7696" max="7936" width="11.42578125" style="5"/>
    <col min="7937" max="7937" width="6.28515625" style="5" customWidth="1"/>
    <col min="7938" max="7938" width="45" style="5" customWidth="1"/>
    <col min="7939" max="7939" width="10.7109375" style="5" customWidth="1"/>
    <col min="7940" max="7951" width="8.140625" style="5" customWidth="1"/>
    <col min="7952" max="8192" width="11.42578125" style="5"/>
    <col min="8193" max="8193" width="6.28515625" style="5" customWidth="1"/>
    <col min="8194" max="8194" width="45" style="5" customWidth="1"/>
    <col min="8195" max="8195" width="10.7109375" style="5" customWidth="1"/>
    <col min="8196" max="8207" width="8.140625" style="5" customWidth="1"/>
    <col min="8208" max="8448" width="11.42578125" style="5"/>
    <col min="8449" max="8449" width="6.28515625" style="5" customWidth="1"/>
    <col min="8450" max="8450" width="45" style="5" customWidth="1"/>
    <col min="8451" max="8451" width="10.7109375" style="5" customWidth="1"/>
    <col min="8452" max="8463" width="8.140625" style="5" customWidth="1"/>
    <col min="8464" max="8704" width="11.42578125" style="5"/>
    <col min="8705" max="8705" width="6.28515625" style="5" customWidth="1"/>
    <col min="8706" max="8706" width="45" style="5" customWidth="1"/>
    <col min="8707" max="8707" width="10.7109375" style="5" customWidth="1"/>
    <col min="8708" max="8719" width="8.140625" style="5" customWidth="1"/>
    <col min="8720" max="8960" width="11.42578125" style="5"/>
    <col min="8961" max="8961" width="6.28515625" style="5" customWidth="1"/>
    <col min="8962" max="8962" width="45" style="5" customWidth="1"/>
    <col min="8963" max="8963" width="10.7109375" style="5" customWidth="1"/>
    <col min="8964" max="8975" width="8.140625" style="5" customWidth="1"/>
    <col min="8976" max="9216" width="11.42578125" style="5"/>
    <col min="9217" max="9217" width="6.28515625" style="5" customWidth="1"/>
    <col min="9218" max="9218" width="45" style="5" customWidth="1"/>
    <col min="9219" max="9219" width="10.7109375" style="5" customWidth="1"/>
    <col min="9220" max="9231" width="8.140625" style="5" customWidth="1"/>
    <col min="9232" max="9472" width="11.42578125" style="5"/>
    <col min="9473" max="9473" width="6.28515625" style="5" customWidth="1"/>
    <col min="9474" max="9474" width="45" style="5" customWidth="1"/>
    <col min="9475" max="9475" width="10.7109375" style="5" customWidth="1"/>
    <col min="9476" max="9487" width="8.140625" style="5" customWidth="1"/>
    <col min="9488" max="9728" width="11.42578125" style="5"/>
    <col min="9729" max="9729" width="6.28515625" style="5" customWidth="1"/>
    <col min="9730" max="9730" width="45" style="5" customWidth="1"/>
    <col min="9731" max="9731" width="10.7109375" style="5" customWidth="1"/>
    <col min="9732" max="9743" width="8.140625" style="5" customWidth="1"/>
    <col min="9744" max="9984" width="11.42578125" style="5"/>
    <col min="9985" max="9985" width="6.28515625" style="5" customWidth="1"/>
    <col min="9986" max="9986" width="45" style="5" customWidth="1"/>
    <col min="9987" max="9987" width="10.7109375" style="5" customWidth="1"/>
    <col min="9988" max="9999" width="8.140625" style="5" customWidth="1"/>
    <col min="10000" max="10240" width="11.42578125" style="5"/>
    <col min="10241" max="10241" width="6.28515625" style="5" customWidth="1"/>
    <col min="10242" max="10242" width="45" style="5" customWidth="1"/>
    <col min="10243" max="10243" width="10.7109375" style="5" customWidth="1"/>
    <col min="10244" max="10255" width="8.140625" style="5" customWidth="1"/>
    <col min="10256" max="10496" width="11.42578125" style="5"/>
    <col min="10497" max="10497" width="6.28515625" style="5" customWidth="1"/>
    <col min="10498" max="10498" width="45" style="5" customWidth="1"/>
    <col min="10499" max="10499" width="10.7109375" style="5" customWidth="1"/>
    <col min="10500" max="10511" width="8.140625" style="5" customWidth="1"/>
    <col min="10512" max="10752" width="11.42578125" style="5"/>
    <col min="10753" max="10753" width="6.28515625" style="5" customWidth="1"/>
    <col min="10754" max="10754" width="45" style="5" customWidth="1"/>
    <col min="10755" max="10755" width="10.7109375" style="5" customWidth="1"/>
    <col min="10756" max="10767" width="8.140625" style="5" customWidth="1"/>
    <col min="10768" max="11008" width="11.42578125" style="5"/>
    <col min="11009" max="11009" width="6.28515625" style="5" customWidth="1"/>
    <col min="11010" max="11010" width="45" style="5" customWidth="1"/>
    <col min="11011" max="11011" width="10.7109375" style="5" customWidth="1"/>
    <col min="11012" max="11023" width="8.140625" style="5" customWidth="1"/>
    <col min="11024" max="11264" width="11.42578125" style="5"/>
    <col min="11265" max="11265" width="6.28515625" style="5" customWidth="1"/>
    <col min="11266" max="11266" width="45" style="5" customWidth="1"/>
    <col min="11267" max="11267" width="10.7109375" style="5" customWidth="1"/>
    <col min="11268" max="11279" width="8.140625" style="5" customWidth="1"/>
    <col min="11280" max="11520" width="11.42578125" style="5"/>
    <col min="11521" max="11521" width="6.28515625" style="5" customWidth="1"/>
    <col min="11522" max="11522" width="45" style="5" customWidth="1"/>
    <col min="11523" max="11523" width="10.7109375" style="5" customWidth="1"/>
    <col min="11524" max="11535" width="8.140625" style="5" customWidth="1"/>
    <col min="11536" max="11776" width="11.42578125" style="5"/>
    <col min="11777" max="11777" width="6.28515625" style="5" customWidth="1"/>
    <col min="11778" max="11778" width="45" style="5" customWidth="1"/>
    <col min="11779" max="11779" width="10.7109375" style="5" customWidth="1"/>
    <col min="11780" max="11791" width="8.140625" style="5" customWidth="1"/>
    <col min="11792" max="12032" width="11.42578125" style="5"/>
    <col min="12033" max="12033" width="6.28515625" style="5" customWidth="1"/>
    <col min="12034" max="12034" width="45" style="5" customWidth="1"/>
    <col min="12035" max="12035" width="10.7109375" style="5" customWidth="1"/>
    <col min="12036" max="12047" width="8.140625" style="5" customWidth="1"/>
    <col min="12048" max="12288" width="11.42578125" style="5"/>
    <col min="12289" max="12289" width="6.28515625" style="5" customWidth="1"/>
    <col min="12290" max="12290" width="45" style="5" customWidth="1"/>
    <col min="12291" max="12291" width="10.7109375" style="5" customWidth="1"/>
    <col min="12292" max="12303" width="8.140625" style="5" customWidth="1"/>
    <col min="12304" max="12544" width="11.42578125" style="5"/>
    <col min="12545" max="12545" width="6.28515625" style="5" customWidth="1"/>
    <col min="12546" max="12546" width="45" style="5" customWidth="1"/>
    <col min="12547" max="12547" width="10.7109375" style="5" customWidth="1"/>
    <col min="12548" max="12559" width="8.140625" style="5" customWidth="1"/>
    <col min="12560" max="12800" width="11.42578125" style="5"/>
    <col min="12801" max="12801" width="6.28515625" style="5" customWidth="1"/>
    <col min="12802" max="12802" width="45" style="5" customWidth="1"/>
    <col min="12803" max="12803" width="10.7109375" style="5" customWidth="1"/>
    <col min="12804" max="12815" width="8.140625" style="5" customWidth="1"/>
    <col min="12816" max="13056" width="11.42578125" style="5"/>
    <col min="13057" max="13057" width="6.28515625" style="5" customWidth="1"/>
    <col min="13058" max="13058" width="45" style="5" customWidth="1"/>
    <col min="13059" max="13059" width="10.7109375" style="5" customWidth="1"/>
    <col min="13060" max="13071" width="8.140625" style="5" customWidth="1"/>
    <col min="13072" max="13312" width="11.42578125" style="5"/>
    <col min="13313" max="13313" width="6.28515625" style="5" customWidth="1"/>
    <col min="13314" max="13314" width="45" style="5" customWidth="1"/>
    <col min="13315" max="13315" width="10.7109375" style="5" customWidth="1"/>
    <col min="13316" max="13327" width="8.140625" style="5" customWidth="1"/>
    <col min="13328" max="13568" width="11.42578125" style="5"/>
    <col min="13569" max="13569" width="6.28515625" style="5" customWidth="1"/>
    <col min="13570" max="13570" width="45" style="5" customWidth="1"/>
    <col min="13571" max="13571" width="10.7109375" style="5" customWidth="1"/>
    <col min="13572" max="13583" width="8.140625" style="5" customWidth="1"/>
    <col min="13584" max="13824" width="11.42578125" style="5"/>
    <col min="13825" max="13825" width="6.28515625" style="5" customWidth="1"/>
    <col min="13826" max="13826" width="45" style="5" customWidth="1"/>
    <col min="13827" max="13827" width="10.7109375" style="5" customWidth="1"/>
    <col min="13828" max="13839" width="8.140625" style="5" customWidth="1"/>
    <col min="13840" max="14080" width="11.42578125" style="5"/>
    <col min="14081" max="14081" width="6.28515625" style="5" customWidth="1"/>
    <col min="14082" max="14082" width="45" style="5" customWidth="1"/>
    <col min="14083" max="14083" width="10.7109375" style="5" customWidth="1"/>
    <col min="14084" max="14095" width="8.140625" style="5" customWidth="1"/>
    <col min="14096" max="14336" width="11.42578125" style="5"/>
    <col min="14337" max="14337" width="6.28515625" style="5" customWidth="1"/>
    <col min="14338" max="14338" width="45" style="5" customWidth="1"/>
    <col min="14339" max="14339" width="10.7109375" style="5" customWidth="1"/>
    <col min="14340" max="14351" width="8.140625" style="5" customWidth="1"/>
    <col min="14352" max="14592" width="11.42578125" style="5"/>
    <col min="14593" max="14593" width="6.28515625" style="5" customWidth="1"/>
    <col min="14594" max="14594" width="45" style="5" customWidth="1"/>
    <col min="14595" max="14595" width="10.7109375" style="5" customWidth="1"/>
    <col min="14596" max="14607" width="8.140625" style="5" customWidth="1"/>
    <col min="14608" max="14848" width="11.42578125" style="5"/>
    <col min="14849" max="14849" width="6.28515625" style="5" customWidth="1"/>
    <col min="14850" max="14850" width="45" style="5" customWidth="1"/>
    <col min="14851" max="14851" width="10.7109375" style="5" customWidth="1"/>
    <col min="14852" max="14863" width="8.140625" style="5" customWidth="1"/>
    <col min="14864" max="15104" width="11.42578125" style="5"/>
    <col min="15105" max="15105" width="6.28515625" style="5" customWidth="1"/>
    <col min="15106" max="15106" width="45" style="5" customWidth="1"/>
    <col min="15107" max="15107" width="10.7109375" style="5" customWidth="1"/>
    <col min="15108" max="15119" width="8.140625" style="5" customWidth="1"/>
    <col min="15120" max="15360" width="11.42578125" style="5"/>
    <col min="15361" max="15361" width="6.28515625" style="5" customWidth="1"/>
    <col min="15362" max="15362" width="45" style="5" customWidth="1"/>
    <col min="15363" max="15363" width="10.7109375" style="5" customWidth="1"/>
    <col min="15364" max="15375" width="8.140625" style="5" customWidth="1"/>
    <col min="15376" max="15616" width="11.42578125" style="5"/>
    <col min="15617" max="15617" width="6.28515625" style="5" customWidth="1"/>
    <col min="15618" max="15618" width="45" style="5" customWidth="1"/>
    <col min="15619" max="15619" width="10.7109375" style="5" customWidth="1"/>
    <col min="15620" max="15631" width="8.140625" style="5" customWidth="1"/>
    <col min="15632" max="15872" width="11.42578125" style="5"/>
    <col min="15873" max="15873" width="6.28515625" style="5" customWidth="1"/>
    <col min="15874" max="15874" width="45" style="5" customWidth="1"/>
    <col min="15875" max="15875" width="10.7109375" style="5" customWidth="1"/>
    <col min="15876" max="15887" width="8.140625" style="5" customWidth="1"/>
    <col min="15888" max="16128" width="11.42578125" style="5"/>
    <col min="16129" max="16129" width="6.28515625" style="5" customWidth="1"/>
    <col min="16130" max="16130" width="45" style="5" customWidth="1"/>
    <col min="16131" max="16131" width="10.7109375" style="5" customWidth="1"/>
    <col min="16132" max="16143" width="8.140625" style="5" customWidth="1"/>
    <col min="16144" max="16384" width="11.42578125" style="5"/>
  </cols>
  <sheetData>
    <row r="1" spans="1:15" ht="18" x14ac:dyDescent="0.25">
      <c r="A1" s="765" t="s">
        <v>608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</row>
    <row r="2" spans="1:15" ht="18" x14ac:dyDescent="0.25">
      <c r="A2" s="766" t="s">
        <v>623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</row>
    <row r="3" spans="1:15" s="1" customFormat="1" ht="15.75" x14ac:dyDescent="0.25">
      <c r="A3" s="767" t="s">
        <v>265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</row>
    <row r="4" spans="1:15" s="1" customFormat="1" ht="15.75" x14ac:dyDescent="0.25">
      <c r="A4" s="767" t="s">
        <v>266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</row>
    <row r="5" spans="1:15" s="1" customFormat="1" ht="15.75" x14ac:dyDescent="0.25">
      <c r="A5" s="767" t="s">
        <v>267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</row>
    <row r="6" spans="1:15" s="7" customFormat="1" ht="15.75" x14ac:dyDescent="0.25">
      <c r="A6" s="743" t="s">
        <v>555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</row>
    <row r="7" spans="1:15" s="657" customFormat="1" x14ac:dyDescent="0.25">
      <c r="A7" s="772" t="s">
        <v>557</v>
      </c>
      <c r="B7" s="772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</row>
    <row r="8" spans="1:15" s="657" customFormat="1" ht="14.25" x14ac:dyDescent="0.25">
      <c r="A8" s="776" t="s">
        <v>635</v>
      </c>
      <c r="B8" s="776"/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</row>
    <row r="9" spans="1:15" s="659" customFormat="1" ht="11.25" x14ac:dyDescent="0.2">
      <c r="A9" s="658" t="s">
        <v>5</v>
      </c>
      <c r="B9" s="716" t="s">
        <v>9</v>
      </c>
      <c r="C9" s="575" t="s">
        <v>3</v>
      </c>
      <c r="D9" s="575" t="s">
        <v>590</v>
      </c>
      <c r="E9" s="575" t="s">
        <v>591</v>
      </c>
      <c r="F9" s="575" t="s">
        <v>592</v>
      </c>
      <c r="G9" s="575" t="s">
        <v>593</v>
      </c>
      <c r="H9" s="575" t="s">
        <v>594</v>
      </c>
      <c r="I9" s="575" t="s">
        <v>595</v>
      </c>
      <c r="J9" s="575" t="s">
        <v>596</v>
      </c>
      <c r="K9" s="575" t="s">
        <v>597</v>
      </c>
      <c r="L9" s="575" t="s">
        <v>598</v>
      </c>
      <c r="M9" s="575" t="s">
        <v>599</v>
      </c>
      <c r="N9" s="575" t="s">
        <v>600</v>
      </c>
      <c r="O9" s="575" t="s">
        <v>601</v>
      </c>
    </row>
    <row r="10" spans="1:15" x14ac:dyDescent="0.25">
      <c r="A10" s="660">
        <v>1</v>
      </c>
      <c r="B10" s="216" t="s">
        <v>269</v>
      </c>
      <c r="C10" s="16">
        <v>541814095</v>
      </c>
      <c r="D10" s="12">
        <v>0</v>
      </c>
      <c r="E10" s="773">
        <f>C10</f>
        <v>541814095</v>
      </c>
      <c r="F10" s="774"/>
      <c r="G10" s="775"/>
      <c r="H10" s="12">
        <v>0</v>
      </c>
      <c r="I10" s="16">
        <v>0</v>
      </c>
      <c r="J10" s="16">
        <v>0</v>
      </c>
      <c r="K10" s="16">
        <v>0</v>
      </c>
      <c r="L10" s="16">
        <v>0</v>
      </c>
      <c r="M10" s="12">
        <v>0</v>
      </c>
      <c r="N10" s="12">
        <v>0</v>
      </c>
      <c r="O10" s="12">
        <v>0</v>
      </c>
    </row>
    <row r="11" spans="1:15" ht="22.5" x14ac:dyDescent="0.25">
      <c r="A11" s="660">
        <v>2</v>
      </c>
      <c r="B11" s="216" t="s">
        <v>270</v>
      </c>
      <c r="C11" s="16">
        <v>57221476</v>
      </c>
      <c r="D11" s="12">
        <v>0</v>
      </c>
      <c r="E11" s="773">
        <f>C11</f>
        <v>57221476</v>
      </c>
      <c r="F11" s="774"/>
      <c r="G11" s="775"/>
      <c r="H11" s="12">
        <v>0</v>
      </c>
      <c r="I11" s="16">
        <v>0</v>
      </c>
      <c r="J11" s="16">
        <v>0</v>
      </c>
      <c r="K11" s="16">
        <v>0</v>
      </c>
      <c r="L11" s="16">
        <v>0</v>
      </c>
      <c r="M11" s="12">
        <v>0</v>
      </c>
      <c r="N11" s="12">
        <v>0</v>
      </c>
      <c r="O11" s="12">
        <v>0</v>
      </c>
    </row>
    <row r="12" spans="1:15" x14ac:dyDescent="0.25">
      <c r="A12" s="768" t="s">
        <v>602</v>
      </c>
      <c r="B12" s="768"/>
      <c r="C12" s="768"/>
      <c r="D12" s="769">
        <f>SUM(C10:C11)</f>
        <v>599035571</v>
      </c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69"/>
    </row>
    <row r="13" spans="1:15" s="7" customFormat="1" ht="15.75" x14ac:dyDescent="0.25">
      <c r="A13" s="743" t="s">
        <v>556</v>
      </c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</row>
    <row r="14" spans="1:15" s="657" customFormat="1" x14ac:dyDescent="0.25">
      <c r="A14" s="772" t="s">
        <v>558</v>
      </c>
      <c r="B14" s="772"/>
      <c r="C14" s="772"/>
      <c r="D14" s="772"/>
      <c r="E14" s="772"/>
      <c r="F14" s="772"/>
      <c r="G14" s="772"/>
      <c r="H14" s="772"/>
      <c r="I14" s="772"/>
      <c r="J14" s="772"/>
      <c r="K14" s="772"/>
      <c r="L14" s="772"/>
      <c r="M14" s="772"/>
      <c r="N14" s="772"/>
      <c r="O14" s="772"/>
    </row>
    <row r="15" spans="1:15" s="657" customFormat="1" ht="14.25" x14ac:dyDescent="0.25">
      <c r="A15" s="776" t="s">
        <v>636</v>
      </c>
      <c r="B15" s="776"/>
      <c r="C15" s="776"/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6"/>
      <c r="O15" s="776"/>
    </row>
    <row r="16" spans="1:15" s="659" customFormat="1" ht="11.25" x14ac:dyDescent="0.2">
      <c r="A16" s="658" t="s">
        <v>5</v>
      </c>
      <c r="B16" s="575" t="s">
        <v>9</v>
      </c>
      <c r="C16" s="575" t="s">
        <v>3</v>
      </c>
      <c r="D16" s="575" t="s">
        <v>590</v>
      </c>
      <c r="E16" s="575" t="s">
        <v>591</v>
      </c>
      <c r="F16" s="575" t="s">
        <v>592</v>
      </c>
      <c r="G16" s="575" t="s">
        <v>593</v>
      </c>
      <c r="H16" s="575" t="s">
        <v>594</v>
      </c>
      <c r="I16" s="575" t="s">
        <v>595</v>
      </c>
      <c r="J16" s="575" t="s">
        <v>596</v>
      </c>
      <c r="K16" s="575" t="s">
        <v>597</v>
      </c>
      <c r="L16" s="575" t="s">
        <v>598</v>
      </c>
      <c r="M16" s="575" t="s">
        <v>599</v>
      </c>
      <c r="N16" s="575" t="s">
        <v>600</v>
      </c>
      <c r="O16" s="575" t="s">
        <v>601</v>
      </c>
    </row>
    <row r="17" spans="1:15" s="6" customFormat="1" ht="45" x14ac:dyDescent="0.25">
      <c r="A17" s="660">
        <v>5</v>
      </c>
      <c r="B17" s="197" t="s">
        <v>634</v>
      </c>
      <c r="C17" s="16">
        <v>33000000</v>
      </c>
      <c r="D17" s="12">
        <v>0</v>
      </c>
      <c r="E17" s="773">
        <f>C17</f>
        <v>33000000</v>
      </c>
      <c r="F17" s="774"/>
      <c r="G17" s="774"/>
      <c r="H17" s="774"/>
      <c r="I17" s="774"/>
      <c r="J17" s="774"/>
      <c r="K17" s="774"/>
      <c r="L17" s="774"/>
      <c r="M17" s="774"/>
      <c r="N17" s="774"/>
      <c r="O17" s="775"/>
    </row>
    <row r="18" spans="1:15" s="657" customFormat="1" ht="14.25" x14ac:dyDescent="0.25">
      <c r="A18" s="776" t="s">
        <v>635</v>
      </c>
      <c r="B18" s="776"/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</row>
    <row r="19" spans="1:15" s="659" customFormat="1" ht="11.25" x14ac:dyDescent="0.2">
      <c r="A19" s="658" t="s">
        <v>5</v>
      </c>
      <c r="B19" s="716" t="s">
        <v>9</v>
      </c>
      <c r="C19" s="716" t="s">
        <v>3</v>
      </c>
      <c r="D19" s="716" t="s">
        <v>590</v>
      </c>
      <c r="E19" s="716" t="s">
        <v>591</v>
      </c>
      <c r="F19" s="716" t="s">
        <v>592</v>
      </c>
      <c r="G19" s="716" t="s">
        <v>593</v>
      </c>
      <c r="H19" s="716" t="s">
        <v>594</v>
      </c>
      <c r="I19" s="716" t="s">
        <v>595</v>
      </c>
      <c r="J19" s="716" t="s">
        <v>596</v>
      </c>
      <c r="K19" s="716" t="s">
        <v>597</v>
      </c>
      <c r="L19" s="716" t="s">
        <v>598</v>
      </c>
      <c r="M19" s="716" t="s">
        <v>599</v>
      </c>
      <c r="N19" s="716" t="s">
        <v>600</v>
      </c>
      <c r="O19" s="716" t="s">
        <v>601</v>
      </c>
    </row>
    <row r="20" spans="1:15" s="6" customFormat="1" ht="22.5" x14ac:dyDescent="0.25">
      <c r="A20" s="660">
        <v>4</v>
      </c>
      <c r="B20" s="197" t="s">
        <v>268</v>
      </c>
      <c r="C20" s="16">
        <v>63667957.895999998</v>
      </c>
      <c r="D20" s="12">
        <v>0</v>
      </c>
      <c r="E20" s="732">
        <f>C20</f>
        <v>63667957.895999998</v>
      </c>
      <c r="F20" s="12">
        <v>0</v>
      </c>
      <c r="G20" s="12">
        <v>0</v>
      </c>
      <c r="H20" s="12">
        <v>0</v>
      </c>
      <c r="I20" s="16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15" customHeight="1" x14ac:dyDescent="0.25">
      <c r="A21" s="768" t="s">
        <v>603</v>
      </c>
      <c r="B21" s="768"/>
      <c r="C21" s="768"/>
      <c r="D21" s="769">
        <f>SUM(C17:C20)</f>
        <v>96667957.895999998</v>
      </c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69"/>
    </row>
    <row r="22" spans="1:15" ht="15.75" x14ac:dyDescent="0.25">
      <c r="A22" s="770" t="s">
        <v>622</v>
      </c>
      <c r="B22" s="770"/>
      <c r="C22" s="770"/>
      <c r="D22" s="771">
        <f>ROUND(D12+D21,0)</f>
        <v>695703529</v>
      </c>
      <c r="E22" s="771"/>
      <c r="F22" s="771"/>
      <c r="G22" s="771"/>
      <c r="H22" s="771"/>
      <c r="I22" s="771"/>
      <c r="J22" s="771"/>
      <c r="K22" s="771"/>
      <c r="L22" s="771"/>
      <c r="M22" s="771"/>
      <c r="N22" s="771"/>
      <c r="O22" s="771"/>
    </row>
    <row r="27" spans="1:15" s="1" customFormat="1" ht="12.75" x14ac:dyDescent="0.25">
      <c r="D27" s="2"/>
      <c r="L27" s="6"/>
    </row>
    <row r="28" spans="1:15" s="1" customFormat="1" ht="12.75" x14ac:dyDescent="0.25">
      <c r="D28" s="2"/>
      <c r="L28" s="6"/>
    </row>
    <row r="29" spans="1:15" s="1" customFormat="1" ht="15.75" x14ac:dyDescent="0.25">
      <c r="B29" s="661"/>
      <c r="D29" s="3"/>
      <c r="E29" s="742" t="s">
        <v>618</v>
      </c>
      <c r="G29" s="572"/>
      <c r="H29" s="572"/>
      <c r="I29" s="6"/>
      <c r="K29" s="6"/>
      <c r="L29" s="6"/>
    </row>
    <row r="30" spans="1:15" s="1" customFormat="1" x14ac:dyDescent="0.25">
      <c r="B30" s="662"/>
      <c r="D30" s="573"/>
      <c r="E30" s="203" t="s">
        <v>619</v>
      </c>
      <c r="F30" s="572"/>
      <c r="G30" s="572"/>
      <c r="H30" s="572"/>
      <c r="I30" s="6"/>
      <c r="K30" s="6"/>
      <c r="L30" s="6"/>
    </row>
    <row r="32" spans="1:15" s="1" customFormat="1" ht="12.75" x14ac:dyDescent="0.25">
      <c r="B32" s="663"/>
      <c r="C32" s="663"/>
      <c r="D32" s="664"/>
      <c r="E32" s="663"/>
      <c r="F32" s="663"/>
      <c r="I32" s="663"/>
      <c r="J32" s="665"/>
      <c r="K32" s="666"/>
      <c r="L32" s="663"/>
    </row>
    <row r="33" spans="2:14" s="1" customFormat="1" ht="12.75" x14ac:dyDescent="0.25">
      <c r="B33" s="9"/>
      <c r="C33" s="9"/>
      <c r="D33" s="667"/>
      <c r="E33" s="24"/>
      <c r="F33" s="9"/>
      <c r="I33" s="9"/>
      <c r="J33" s="24"/>
      <c r="K33" s="668"/>
      <c r="L33" s="663"/>
    </row>
    <row r="35" spans="2:14" x14ac:dyDescent="0.25">
      <c r="B35" s="1"/>
      <c r="C35" s="1"/>
      <c r="D35" s="2"/>
    </row>
    <row r="36" spans="2:14" x14ac:dyDescent="0.25">
      <c r="B36" s="1"/>
      <c r="C36" s="1"/>
      <c r="D36" s="2"/>
    </row>
    <row r="37" spans="2:14" s="1" customFormat="1" ht="12.75" customHeight="1" x14ac:dyDescent="0.25">
      <c r="B37" s="669"/>
      <c r="D37" s="2"/>
      <c r="K37" s="670"/>
      <c r="L37" s="671"/>
      <c r="M37" s="672"/>
      <c r="N37" s="672"/>
    </row>
    <row r="38" spans="2:14" s="1" customFormat="1" x14ac:dyDescent="0.25">
      <c r="B38" s="673"/>
      <c r="C38" s="5"/>
      <c r="D38" s="5"/>
      <c r="K38" s="674"/>
      <c r="L38" s="4"/>
    </row>
    <row r="39" spans="2:14" s="1" customFormat="1" x14ac:dyDescent="0.25">
      <c r="B39" s="673"/>
      <c r="C39" s="5"/>
      <c r="D39" s="5"/>
      <c r="K39" s="674"/>
      <c r="L39" s="4"/>
    </row>
  </sheetData>
  <mergeCells count="21">
    <mergeCell ref="A21:C21"/>
    <mergeCell ref="D21:O21"/>
    <mergeCell ref="A22:C22"/>
    <mergeCell ref="D22:O22"/>
    <mergeCell ref="A7:O7"/>
    <mergeCell ref="A12:C12"/>
    <mergeCell ref="D12:O12"/>
    <mergeCell ref="E10:G10"/>
    <mergeCell ref="E11:G11"/>
    <mergeCell ref="A13:O13"/>
    <mergeCell ref="A14:O14"/>
    <mergeCell ref="A8:O8"/>
    <mergeCell ref="A18:O18"/>
    <mergeCell ref="A15:O15"/>
    <mergeCell ref="E17:O17"/>
    <mergeCell ref="A6:O6"/>
    <mergeCell ref="A1:O1"/>
    <mergeCell ref="A2:O2"/>
    <mergeCell ref="A3:O3"/>
    <mergeCell ref="A4:O4"/>
    <mergeCell ref="A5:O5"/>
  </mergeCells>
  <pageMargins left="0.51181102362204722" right="0.9055118110236221" top="0.74803149606299213" bottom="0.74803149606299213" header="0.31496062992125984" footer="0.31496062992125984"/>
  <pageSetup paperSize="5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B1:Q58"/>
  <sheetViews>
    <sheetView topLeftCell="D36" workbookViewId="0">
      <selection activeCell="I47" sqref="I47:I48"/>
    </sheetView>
  </sheetViews>
  <sheetFormatPr baseColWidth="10" defaultRowHeight="15" x14ac:dyDescent="0.25"/>
  <cols>
    <col min="1" max="1" width="11.42578125" style="5"/>
    <col min="2" max="2" width="5.140625" style="5" customWidth="1"/>
    <col min="3" max="3" width="45" style="5" customWidth="1"/>
    <col min="4" max="4" width="7.7109375" style="5" customWidth="1"/>
    <col min="5" max="5" width="8.140625" style="5" customWidth="1"/>
    <col min="6" max="6" width="11.5703125" style="5" customWidth="1"/>
    <col min="7" max="7" width="12.140625" style="5" customWidth="1"/>
    <col min="8" max="8" width="10.28515625" style="5" customWidth="1"/>
    <col min="9" max="9" width="12" style="5" customWidth="1"/>
    <col min="10" max="10" width="10.28515625" style="5" customWidth="1"/>
    <col min="11" max="11" width="12.5703125" style="5" customWidth="1"/>
    <col min="12" max="12" width="10.140625" style="5" customWidth="1"/>
    <col min="13" max="13" width="12.28515625" style="5" customWidth="1"/>
    <col min="14" max="14" width="14.140625" style="5" customWidth="1"/>
    <col min="15" max="15" width="12.28515625" style="5" customWidth="1"/>
    <col min="16" max="16384" width="11.42578125" style="5"/>
  </cols>
  <sheetData>
    <row r="1" spans="2:17" ht="42" customHeight="1" x14ac:dyDescent="0.25">
      <c r="B1" s="766" t="s">
        <v>607</v>
      </c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</row>
    <row r="2" spans="2:17" ht="16.5" x14ac:dyDescent="0.25">
      <c r="B2" s="786" t="s">
        <v>252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</row>
    <row r="3" spans="2:17" ht="15.75" x14ac:dyDescent="0.25">
      <c r="B3" s="787" t="s">
        <v>272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</row>
    <row r="4" spans="2:17" ht="23.25" customHeight="1" x14ac:dyDescent="0.25">
      <c r="B4" s="236" t="s">
        <v>5</v>
      </c>
      <c r="C4" s="236" t="s">
        <v>8</v>
      </c>
      <c r="D4" s="788" t="s">
        <v>273</v>
      </c>
      <c r="E4" s="790" t="s">
        <v>37</v>
      </c>
      <c r="F4" s="792" t="s">
        <v>274</v>
      </c>
      <c r="G4" s="792"/>
      <c r="H4" s="792" t="s">
        <v>275</v>
      </c>
      <c r="I4" s="792"/>
      <c r="J4" s="793" t="s">
        <v>276</v>
      </c>
      <c r="K4" s="794"/>
      <c r="L4" s="795" t="s">
        <v>14</v>
      </c>
      <c r="M4" s="796"/>
      <c r="N4" s="795" t="s">
        <v>165</v>
      </c>
      <c r="O4" s="796"/>
    </row>
    <row r="5" spans="2:17" ht="17.25" customHeight="1" x14ac:dyDescent="0.25">
      <c r="B5" s="236">
        <v>1</v>
      </c>
      <c r="C5" s="236" t="s">
        <v>277</v>
      </c>
      <c r="D5" s="789"/>
      <c r="E5" s="791"/>
      <c r="F5" s="237" t="s">
        <v>278</v>
      </c>
      <c r="G5" s="237" t="s">
        <v>45</v>
      </c>
      <c r="H5" s="237" t="s">
        <v>278</v>
      </c>
      <c r="I5" s="237" t="s">
        <v>45</v>
      </c>
      <c r="J5" s="237" t="s">
        <v>278</v>
      </c>
      <c r="K5" s="237" t="s">
        <v>45</v>
      </c>
      <c r="L5" s="237" t="s">
        <v>278</v>
      </c>
      <c r="M5" s="237" t="s">
        <v>45</v>
      </c>
      <c r="N5" s="237" t="s">
        <v>278</v>
      </c>
      <c r="O5" s="237" t="s">
        <v>45</v>
      </c>
    </row>
    <row r="6" spans="2:17" s="241" customFormat="1" ht="22.5" x14ac:dyDescent="0.25">
      <c r="B6" s="17" t="s">
        <v>185</v>
      </c>
      <c r="C6" s="235" t="s">
        <v>279</v>
      </c>
      <c r="D6" s="17" t="s">
        <v>13</v>
      </c>
      <c r="E6" s="17">
        <v>4</v>
      </c>
      <c r="F6" s="238">
        <v>2775000</v>
      </c>
      <c r="G6" s="238">
        <f>F6*E6</f>
        <v>11100000</v>
      </c>
      <c r="H6" s="238">
        <v>2765000</v>
      </c>
      <c r="I6" s="238">
        <f>H6*E6</f>
        <v>11060000</v>
      </c>
      <c r="J6" s="238">
        <v>2737500</v>
      </c>
      <c r="K6" s="238">
        <f>J6*E6</f>
        <v>10950000</v>
      </c>
      <c r="L6" s="239">
        <f>ROUND(((+F6+H6+J6)/3),0)</f>
        <v>2759167</v>
      </c>
      <c r="M6" s="238">
        <f>L6*E6</f>
        <v>11036668</v>
      </c>
      <c r="N6" s="240">
        <f>'[2]Apu''s preliminares'!G52</f>
        <v>2229284</v>
      </c>
      <c r="O6" s="238">
        <f>E6*N6</f>
        <v>8917136</v>
      </c>
    </row>
    <row r="7" spans="2:17" s="241" customFormat="1" ht="22.5" x14ac:dyDescent="0.25">
      <c r="B7" s="17" t="s">
        <v>280</v>
      </c>
      <c r="C7" s="235" t="s">
        <v>281</v>
      </c>
      <c r="D7" s="17" t="s">
        <v>13</v>
      </c>
      <c r="E7" s="17">
        <v>4</v>
      </c>
      <c r="F7" s="238">
        <v>1665000</v>
      </c>
      <c r="G7" s="238">
        <f>F7*E7</f>
        <v>6660000</v>
      </c>
      <c r="H7" s="238">
        <v>1659000</v>
      </c>
      <c r="I7" s="238">
        <f>H7*E7</f>
        <v>6636000</v>
      </c>
      <c r="J7" s="238">
        <v>1642500</v>
      </c>
      <c r="K7" s="238">
        <f>J7*E7</f>
        <v>6570000</v>
      </c>
      <c r="L7" s="239">
        <f>ROUND(((+F7+H7+J7)/3),0)</f>
        <v>1655500</v>
      </c>
      <c r="M7" s="238">
        <f>L7*E7</f>
        <v>6622000</v>
      </c>
      <c r="N7" s="240">
        <f>'[2]Apu''s preliminares'!G110</f>
        <v>1309170</v>
      </c>
      <c r="O7" s="238">
        <f>E7*N7</f>
        <v>5236680</v>
      </c>
    </row>
    <row r="8" spans="2:17" s="241" customFormat="1" ht="22.5" x14ac:dyDescent="0.25">
      <c r="B8" s="17" t="s">
        <v>282</v>
      </c>
      <c r="C8" s="235" t="s">
        <v>283</v>
      </c>
      <c r="D8" s="17" t="s">
        <v>13</v>
      </c>
      <c r="E8" s="242">
        <v>4</v>
      </c>
      <c r="F8" s="238">
        <v>1332000</v>
      </c>
      <c r="G8" s="238">
        <f>F8*E8</f>
        <v>5328000</v>
      </c>
      <c r="H8" s="238">
        <v>1327200</v>
      </c>
      <c r="I8" s="238">
        <f>H8*E8</f>
        <v>5308800</v>
      </c>
      <c r="J8" s="238">
        <v>1314000</v>
      </c>
      <c r="K8" s="238">
        <f>J8*E8</f>
        <v>5256000</v>
      </c>
      <c r="L8" s="239">
        <f>ROUND(((+F8+H8+J8)/3),0)</f>
        <v>1324400</v>
      </c>
      <c r="M8" s="238">
        <f>L8*E8</f>
        <v>5297600</v>
      </c>
      <c r="N8" s="240">
        <f>'[2]Apu''s preliminares'!G166</f>
        <v>784398</v>
      </c>
      <c r="O8" s="238">
        <f>E8*N8</f>
        <v>3137592</v>
      </c>
    </row>
    <row r="9" spans="2:17" s="241" customFormat="1" ht="22.5" x14ac:dyDescent="0.25">
      <c r="B9" s="17" t="s">
        <v>284</v>
      </c>
      <c r="C9" s="235" t="s">
        <v>285</v>
      </c>
      <c r="D9" s="17" t="s">
        <v>13</v>
      </c>
      <c r="E9" s="242">
        <v>4</v>
      </c>
      <c r="F9" s="238">
        <v>888000</v>
      </c>
      <c r="G9" s="238">
        <f>F9*E9</f>
        <v>3552000</v>
      </c>
      <c r="H9" s="238">
        <v>884800</v>
      </c>
      <c r="I9" s="238">
        <f>H9*E9</f>
        <v>3539200</v>
      </c>
      <c r="J9" s="238">
        <v>876000</v>
      </c>
      <c r="K9" s="238">
        <f>J9*E9</f>
        <v>3504000</v>
      </c>
      <c r="L9" s="239">
        <f>ROUND(((+F9+H9+J9)/3),0)</f>
        <v>882933</v>
      </c>
      <c r="M9" s="238">
        <f>L9*E9</f>
        <v>3531732</v>
      </c>
      <c r="N9" s="240">
        <f>'[2]Apu''s preliminares'!G224</f>
        <v>678271</v>
      </c>
      <c r="O9" s="238">
        <f>E9*N9</f>
        <v>2713084</v>
      </c>
    </row>
    <row r="10" spans="2:17" s="241" customFormat="1" x14ac:dyDescent="0.25">
      <c r="B10" s="17" t="s">
        <v>286</v>
      </c>
      <c r="C10" s="235" t="s">
        <v>287</v>
      </c>
      <c r="D10" s="17" t="s">
        <v>13</v>
      </c>
      <c r="E10" s="242">
        <v>4</v>
      </c>
      <c r="F10" s="238">
        <v>1110000</v>
      </c>
      <c r="G10" s="238">
        <f>F10*E10</f>
        <v>4440000</v>
      </c>
      <c r="H10" s="238">
        <v>1106000</v>
      </c>
      <c r="I10" s="238">
        <f>H10*E10</f>
        <v>4424000</v>
      </c>
      <c r="J10" s="238">
        <v>1095000</v>
      </c>
      <c r="K10" s="238">
        <f>J10*E10</f>
        <v>4380000</v>
      </c>
      <c r="L10" s="239">
        <f>ROUND(((+F10+H10+J10)/3),0)</f>
        <v>1103667</v>
      </c>
      <c r="M10" s="238">
        <f>L10*E10</f>
        <v>4414668</v>
      </c>
      <c r="N10" s="240">
        <f>'[2]Apu''s preliminares'!G282</f>
        <v>936099</v>
      </c>
      <c r="O10" s="238">
        <f>E10*N10</f>
        <v>3744396</v>
      </c>
      <c r="Q10" s="559"/>
    </row>
    <row r="11" spans="2:17" s="249" customFormat="1" ht="12" x14ac:dyDescent="0.2">
      <c r="B11" s="236">
        <v>2</v>
      </c>
      <c r="C11" s="244" t="s">
        <v>288</v>
      </c>
      <c r="D11" s="245"/>
      <c r="E11" s="245"/>
      <c r="F11" s="246" t="s">
        <v>46</v>
      </c>
      <c r="G11" s="247">
        <f>SUM(G6:G10)</f>
        <v>31080000</v>
      </c>
      <c r="H11" s="246" t="s">
        <v>46</v>
      </c>
      <c r="I11" s="247">
        <f>SUM(I6:I10)</f>
        <v>30968000</v>
      </c>
      <c r="J11" s="246" t="s">
        <v>46</v>
      </c>
      <c r="K11" s="247">
        <f>SUM(K6:K10)</f>
        <v>30660000</v>
      </c>
      <c r="L11" s="248" t="s">
        <v>46</v>
      </c>
      <c r="M11" s="247">
        <f>SUM(M6:M10)</f>
        <v>30902668</v>
      </c>
      <c r="N11" s="248" t="s">
        <v>46</v>
      </c>
      <c r="O11" s="247">
        <f>SUM(O6:O10)</f>
        <v>23748888</v>
      </c>
      <c r="Q11" s="560"/>
    </row>
    <row r="12" spans="2:17" s="241" customFormat="1" ht="45" x14ac:dyDescent="0.25">
      <c r="B12" s="17" t="s">
        <v>289</v>
      </c>
      <c r="C12" s="235" t="s">
        <v>610</v>
      </c>
      <c r="D12" s="17" t="s">
        <v>290</v>
      </c>
      <c r="E12" s="17">
        <v>2</v>
      </c>
      <c r="F12" s="238">
        <v>80079101</v>
      </c>
      <c r="G12" s="238">
        <f>F12*E12</f>
        <v>160158202</v>
      </c>
      <c r="H12" s="238">
        <v>79790527</v>
      </c>
      <c r="I12" s="238">
        <f>H12*E12</f>
        <v>159581054</v>
      </c>
      <c r="J12" s="238">
        <v>78996951</v>
      </c>
      <c r="K12" s="238">
        <f>J12*E12</f>
        <v>157993902</v>
      </c>
      <c r="L12" s="239">
        <f>ROUND(((+F12+H12+J12)/3),0)</f>
        <v>79622193</v>
      </c>
      <c r="M12" s="239">
        <f>L12*E12</f>
        <v>159244386</v>
      </c>
      <c r="N12" s="240">
        <f>'[2]Apu''s equipos Nuevos (2)'!G47</f>
        <v>79622193</v>
      </c>
      <c r="O12" s="238">
        <f>E12*N12</f>
        <v>159244386</v>
      </c>
      <c r="Q12" s="562"/>
    </row>
    <row r="13" spans="2:17" s="241" customFormat="1" ht="22.5" x14ac:dyDescent="0.25">
      <c r="B13" s="17" t="s">
        <v>291</v>
      </c>
      <c r="C13" s="235" t="s">
        <v>292</v>
      </c>
      <c r="D13" s="17" t="s">
        <v>290</v>
      </c>
      <c r="E13" s="17">
        <v>2</v>
      </c>
      <c r="F13" s="238">
        <v>5608212</v>
      </c>
      <c r="G13" s="238">
        <f>F13*E13</f>
        <v>11216424</v>
      </c>
      <c r="H13" s="238">
        <v>5588002</v>
      </c>
      <c r="I13" s="238">
        <f>H13*E13</f>
        <v>11176004</v>
      </c>
      <c r="J13" s="238">
        <v>5532425</v>
      </c>
      <c r="K13" s="238">
        <f>J13*E13</f>
        <v>11064850</v>
      </c>
      <c r="L13" s="239">
        <f>ROUND(((+F13+H13+J13)/3),0)</f>
        <v>5576213</v>
      </c>
      <c r="M13" s="239">
        <f>L13*E13</f>
        <v>11152426</v>
      </c>
      <c r="N13" s="240">
        <f>'[2]Apu''s equipos Nuevos (2)'!G105</f>
        <v>5576213</v>
      </c>
      <c r="O13" s="238">
        <f>E13*N13</f>
        <v>11152426</v>
      </c>
      <c r="Q13" s="562"/>
    </row>
    <row r="14" spans="2:17" s="241" customFormat="1" ht="33.75" x14ac:dyDescent="0.25">
      <c r="B14" s="17" t="s">
        <v>293</v>
      </c>
      <c r="C14" s="235" t="s">
        <v>294</v>
      </c>
      <c r="D14" s="17" t="s">
        <v>290</v>
      </c>
      <c r="E14" s="17">
        <v>2</v>
      </c>
      <c r="F14" s="238">
        <v>16204321</v>
      </c>
      <c r="G14" s="238">
        <f>F14*E14</f>
        <v>32408642</v>
      </c>
      <c r="H14" s="238">
        <v>16145927</v>
      </c>
      <c r="I14" s="238">
        <f>H14*E14</f>
        <v>32291854</v>
      </c>
      <c r="J14" s="238">
        <v>15985343</v>
      </c>
      <c r="K14" s="238">
        <f>J14*E14</f>
        <v>31970686</v>
      </c>
      <c r="L14" s="239">
        <f>ROUND(((+F14+H14+J14)/3),0)</f>
        <v>16111864</v>
      </c>
      <c r="M14" s="239">
        <f>L14*E14</f>
        <v>32223728</v>
      </c>
      <c r="N14" s="240">
        <f>'[2]Apu''s equipos Nuevos (2)'!G155</f>
        <v>16111864</v>
      </c>
      <c r="O14" s="238">
        <f>E14*N14</f>
        <v>32223728</v>
      </c>
      <c r="Q14" s="562"/>
    </row>
    <row r="15" spans="2:17" s="241" customFormat="1" x14ac:dyDescent="0.25">
      <c r="B15" s="236">
        <v>3</v>
      </c>
      <c r="C15" s="244" t="s">
        <v>295</v>
      </c>
      <c r="D15" s="245"/>
      <c r="E15" s="245"/>
      <c r="F15" s="246" t="s">
        <v>46</v>
      </c>
      <c r="G15" s="247">
        <f>SUM(G12:G14)</f>
        <v>203783268</v>
      </c>
      <c r="H15" s="246" t="s">
        <v>46</v>
      </c>
      <c r="I15" s="247">
        <f>SUM(I12:I14)</f>
        <v>203048912</v>
      </c>
      <c r="J15" s="246" t="s">
        <v>46</v>
      </c>
      <c r="K15" s="247">
        <f>SUM(K12:K14)</f>
        <v>201029438</v>
      </c>
      <c r="L15" s="248" t="s">
        <v>46</v>
      </c>
      <c r="M15" s="247">
        <f>SUM(M12:M14)</f>
        <v>202620540</v>
      </c>
      <c r="N15" s="248" t="s">
        <v>46</v>
      </c>
      <c r="O15" s="247">
        <f>SUM(O12:O14)</f>
        <v>202620540</v>
      </c>
      <c r="Q15" s="561"/>
    </row>
    <row r="16" spans="2:17" s="241" customFormat="1" ht="45" x14ac:dyDescent="0.25">
      <c r="B16" s="17" t="s">
        <v>296</v>
      </c>
      <c r="C16" s="235" t="s">
        <v>297</v>
      </c>
      <c r="D16" s="17" t="s">
        <v>290</v>
      </c>
      <c r="E16" s="242">
        <v>4</v>
      </c>
      <c r="F16" s="238">
        <v>4294895</v>
      </c>
      <c r="G16" s="238">
        <f>F16*E16</f>
        <v>17179580</v>
      </c>
      <c r="H16" s="238">
        <v>4279418</v>
      </c>
      <c r="I16" s="238">
        <f>H16*E16</f>
        <v>17117672</v>
      </c>
      <c r="J16" s="238">
        <v>4236856</v>
      </c>
      <c r="K16" s="238">
        <f>J16*E16</f>
        <v>16947424</v>
      </c>
      <c r="L16" s="239">
        <f>ROUND(((+F16+H16+J16)/3),0)</f>
        <v>4270390</v>
      </c>
      <c r="M16" s="239">
        <f>L16*E16</f>
        <v>17081560</v>
      </c>
      <c r="N16" s="240">
        <f>'[2]Apu''s Semaforos (2)'!G48</f>
        <v>4270390</v>
      </c>
      <c r="O16" s="238">
        <f>E16*N16</f>
        <v>17081560</v>
      </c>
      <c r="Q16" s="562"/>
    </row>
    <row r="17" spans="2:17" s="241" customFormat="1" ht="45" x14ac:dyDescent="0.25">
      <c r="B17" s="17" t="s">
        <v>298</v>
      </c>
      <c r="C17" s="235" t="s">
        <v>299</v>
      </c>
      <c r="D17" s="17" t="s">
        <v>290</v>
      </c>
      <c r="E17" s="242">
        <v>6</v>
      </c>
      <c r="F17" s="238">
        <v>4146268</v>
      </c>
      <c r="G17" s="238">
        <f>F17*E17</f>
        <v>24877608</v>
      </c>
      <c r="H17" s="238">
        <v>4131327</v>
      </c>
      <c r="I17" s="238">
        <f>H17*E17</f>
        <v>24787962</v>
      </c>
      <c r="J17" s="238">
        <v>4090298</v>
      </c>
      <c r="K17" s="238">
        <f>J17*E17</f>
        <v>24541788</v>
      </c>
      <c r="L17" s="239">
        <f>ROUND(((+F17+H17+J17)/3),0)</f>
        <v>4122631</v>
      </c>
      <c r="M17" s="239">
        <f>L17*E17</f>
        <v>24735786</v>
      </c>
      <c r="N17" s="240">
        <f>'[2]Apu''s Semaforos (2)'!G102</f>
        <v>4122631</v>
      </c>
      <c r="O17" s="238">
        <f t="shared" ref="O17:O35" si="0">E17*N17</f>
        <v>24735786</v>
      </c>
      <c r="Q17" s="562"/>
    </row>
    <row r="18" spans="2:17" s="241" customFormat="1" ht="33.75" x14ac:dyDescent="0.25">
      <c r="B18" s="17" t="s">
        <v>300</v>
      </c>
      <c r="C18" s="235" t="s">
        <v>301</v>
      </c>
      <c r="D18" s="17" t="s">
        <v>302</v>
      </c>
      <c r="E18" s="242">
        <v>8</v>
      </c>
      <c r="F18" s="238">
        <v>2984282</v>
      </c>
      <c r="G18" s="238">
        <f>F18*E18</f>
        <v>23874256</v>
      </c>
      <c r="H18" s="238">
        <v>2973527</v>
      </c>
      <c r="I18" s="238">
        <f>H18*E18</f>
        <v>23788216</v>
      </c>
      <c r="J18" s="238">
        <v>2944953</v>
      </c>
      <c r="K18" s="238">
        <f>J18*E18</f>
        <v>23559624</v>
      </c>
      <c r="L18" s="239">
        <f>ROUND(((+F18+H18+J18)/3),0)</f>
        <v>2967587</v>
      </c>
      <c r="M18" s="239">
        <f>L18*E18</f>
        <v>23740696</v>
      </c>
      <c r="N18" s="240">
        <f>'[2]Apu''s Semaforos (2)'!G153</f>
        <v>2967587</v>
      </c>
      <c r="O18" s="238">
        <f t="shared" si="0"/>
        <v>23740696</v>
      </c>
      <c r="Q18" s="562"/>
    </row>
    <row r="19" spans="2:17" s="241" customFormat="1" x14ac:dyDescent="0.25">
      <c r="B19" s="236" t="s">
        <v>303</v>
      </c>
      <c r="C19" s="244" t="s">
        <v>304</v>
      </c>
      <c r="D19" s="245"/>
      <c r="E19" s="245"/>
      <c r="F19" s="246" t="s">
        <v>305</v>
      </c>
      <c r="G19" s="247">
        <f>SUM(G16:G18)</f>
        <v>65931444</v>
      </c>
      <c r="H19" s="246" t="s">
        <v>305</v>
      </c>
      <c r="I19" s="247">
        <f>SUM(I16:I18)</f>
        <v>65693850</v>
      </c>
      <c r="J19" s="246" t="s">
        <v>305</v>
      </c>
      <c r="K19" s="247">
        <f>SUM(K16:K18)</f>
        <v>65048836</v>
      </c>
      <c r="L19" s="248" t="s">
        <v>305</v>
      </c>
      <c r="M19" s="247">
        <f>SUM(M16:M18)</f>
        <v>65558042</v>
      </c>
      <c r="N19" s="248" t="s">
        <v>46</v>
      </c>
      <c r="O19" s="247">
        <f>SUM(O16:O18)</f>
        <v>65558042</v>
      </c>
      <c r="Q19" s="561"/>
    </row>
    <row r="20" spans="2:17" s="241" customFormat="1" ht="56.25" x14ac:dyDescent="0.25">
      <c r="B20" s="17" t="s">
        <v>306</v>
      </c>
      <c r="C20" s="235" t="s">
        <v>307</v>
      </c>
      <c r="D20" s="17" t="s">
        <v>290</v>
      </c>
      <c r="E20" s="17">
        <v>4</v>
      </c>
      <c r="F20" s="238">
        <v>1936487</v>
      </c>
      <c r="G20" s="238">
        <f t="shared" ref="G20:G26" si="1">F20*E20</f>
        <v>7745948</v>
      </c>
      <c r="H20" s="238">
        <v>1929509</v>
      </c>
      <c r="I20" s="238">
        <f t="shared" ref="I20:I26" si="2">H20*E20</f>
        <v>7718036</v>
      </c>
      <c r="J20" s="238">
        <v>1910318</v>
      </c>
      <c r="K20" s="238">
        <f t="shared" ref="K20:K26" si="3">J20*E20</f>
        <v>7641272</v>
      </c>
      <c r="L20" s="239">
        <f t="shared" ref="L20:L26" si="4">ROUND(((+F20+H20+J20)/3),0)</f>
        <v>1925438</v>
      </c>
      <c r="M20" s="239">
        <f t="shared" ref="M20:M26" si="5">L20*E20</f>
        <v>7701752</v>
      </c>
      <c r="N20" s="240">
        <f>'[2]Apu''s postes y cableado'!G53</f>
        <v>1366607</v>
      </c>
      <c r="O20" s="238">
        <f t="shared" si="0"/>
        <v>5466428</v>
      </c>
      <c r="Q20" s="562"/>
    </row>
    <row r="21" spans="2:17" s="241" customFormat="1" ht="56.25" x14ac:dyDescent="0.25">
      <c r="B21" s="17" t="s">
        <v>308</v>
      </c>
      <c r="C21" s="235" t="s">
        <v>309</v>
      </c>
      <c r="D21" s="17" t="s">
        <v>290</v>
      </c>
      <c r="E21" s="17">
        <v>4</v>
      </c>
      <c r="F21" s="238">
        <v>2917060</v>
      </c>
      <c r="G21" s="238">
        <f t="shared" si="1"/>
        <v>11668240</v>
      </c>
      <c r="H21" s="238">
        <v>2906548</v>
      </c>
      <c r="I21" s="238">
        <f t="shared" si="2"/>
        <v>11626192</v>
      </c>
      <c r="J21" s="238">
        <v>2877640</v>
      </c>
      <c r="K21" s="238">
        <f t="shared" si="3"/>
        <v>11510560</v>
      </c>
      <c r="L21" s="239">
        <f t="shared" si="4"/>
        <v>2900416</v>
      </c>
      <c r="M21" s="239">
        <f t="shared" si="5"/>
        <v>11601664</v>
      </c>
      <c r="N21" s="240">
        <f>'[2]Apu''s postes y cableado'!G105</f>
        <v>2389720</v>
      </c>
      <c r="O21" s="238">
        <f t="shared" si="0"/>
        <v>9558880</v>
      </c>
      <c r="Q21" s="562"/>
    </row>
    <row r="22" spans="2:17" s="241" customFormat="1" ht="22.5" x14ac:dyDescent="0.25">
      <c r="B22" s="17" t="s">
        <v>310</v>
      </c>
      <c r="C22" s="235" t="s">
        <v>311</v>
      </c>
      <c r="D22" s="17" t="s">
        <v>302</v>
      </c>
      <c r="E22" s="17">
        <v>210</v>
      </c>
      <c r="F22" s="238">
        <v>14954</v>
      </c>
      <c r="G22" s="238">
        <f t="shared" si="1"/>
        <v>3140340</v>
      </c>
      <c r="H22" s="238">
        <v>14900</v>
      </c>
      <c r="I22" s="238">
        <f t="shared" si="2"/>
        <v>3129000</v>
      </c>
      <c r="J22" s="238">
        <v>14752</v>
      </c>
      <c r="K22" s="238">
        <f t="shared" si="3"/>
        <v>3097920</v>
      </c>
      <c r="L22" s="239">
        <f t="shared" si="4"/>
        <v>14869</v>
      </c>
      <c r="M22" s="239">
        <f t="shared" si="5"/>
        <v>3122490</v>
      </c>
      <c r="N22" s="240">
        <f>'[2]Apu''s postes y cableado'!G164</f>
        <v>13466</v>
      </c>
      <c r="O22" s="238">
        <f t="shared" si="0"/>
        <v>2827860</v>
      </c>
      <c r="Q22" s="562"/>
    </row>
    <row r="23" spans="2:17" s="241" customFormat="1" ht="22.5" x14ac:dyDescent="0.25">
      <c r="B23" s="17" t="s">
        <v>312</v>
      </c>
      <c r="C23" s="235" t="s">
        <v>313</v>
      </c>
      <c r="D23" s="17" t="s">
        <v>302</v>
      </c>
      <c r="E23" s="17">
        <v>250</v>
      </c>
      <c r="F23" s="238">
        <v>11128</v>
      </c>
      <c r="G23" s="238">
        <f t="shared" si="1"/>
        <v>2782000</v>
      </c>
      <c r="H23" s="238">
        <v>11088</v>
      </c>
      <c r="I23" s="238">
        <f t="shared" si="2"/>
        <v>2772000</v>
      </c>
      <c r="J23" s="238">
        <v>10977</v>
      </c>
      <c r="K23" s="238">
        <f t="shared" si="3"/>
        <v>2744250</v>
      </c>
      <c r="L23" s="239">
        <f t="shared" si="4"/>
        <v>11064</v>
      </c>
      <c r="M23" s="239">
        <f t="shared" si="5"/>
        <v>2766000</v>
      </c>
      <c r="N23" s="240">
        <f>'[2]Apu''s postes y cableado'!G223</f>
        <v>11064</v>
      </c>
      <c r="O23" s="238">
        <f t="shared" si="0"/>
        <v>2766000</v>
      </c>
      <c r="Q23" s="562"/>
    </row>
    <row r="24" spans="2:17" s="241" customFormat="1" ht="33.75" x14ac:dyDescent="0.25">
      <c r="B24" s="17" t="s">
        <v>314</v>
      </c>
      <c r="C24" s="235" t="s">
        <v>315</v>
      </c>
      <c r="D24" s="17" t="s">
        <v>302</v>
      </c>
      <c r="E24" s="17">
        <v>40</v>
      </c>
      <c r="F24" s="238">
        <v>25099</v>
      </c>
      <c r="G24" s="238">
        <f t="shared" si="1"/>
        <v>1003960</v>
      </c>
      <c r="H24" s="238">
        <v>25009</v>
      </c>
      <c r="I24" s="238">
        <f t="shared" si="2"/>
        <v>1000360</v>
      </c>
      <c r="J24" s="238">
        <v>24760</v>
      </c>
      <c r="K24" s="238">
        <f t="shared" si="3"/>
        <v>990400</v>
      </c>
      <c r="L24" s="239">
        <f t="shared" si="4"/>
        <v>24956</v>
      </c>
      <c r="M24" s="239">
        <f t="shared" si="5"/>
        <v>998240</v>
      </c>
      <c r="N24" s="240">
        <f>'[2]Apu''s postes y cableado'!G279</f>
        <v>24956</v>
      </c>
      <c r="O24" s="238">
        <f t="shared" si="0"/>
        <v>998240</v>
      </c>
      <c r="Q24" s="562"/>
    </row>
    <row r="25" spans="2:17" s="241" customFormat="1" ht="45" x14ac:dyDescent="0.25">
      <c r="B25" s="17" t="s">
        <v>316</v>
      </c>
      <c r="C25" s="235" t="s">
        <v>317</v>
      </c>
      <c r="D25" s="17" t="s">
        <v>290</v>
      </c>
      <c r="E25" s="17">
        <v>2</v>
      </c>
      <c r="F25" s="238">
        <v>224579</v>
      </c>
      <c r="G25" s="238">
        <f t="shared" si="1"/>
        <v>449158</v>
      </c>
      <c r="H25" s="238">
        <v>223769</v>
      </c>
      <c r="I25" s="238">
        <f t="shared" si="2"/>
        <v>447538</v>
      </c>
      <c r="J25" s="238">
        <v>221544</v>
      </c>
      <c r="K25" s="238">
        <f t="shared" si="3"/>
        <v>443088</v>
      </c>
      <c r="L25" s="239">
        <f t="shared" si="4"/>
        <v>223297</v>
      </c>
      <c r="M25" s="239">
        <f t="shared" si="5"/>
        <v>446594</v>
      </c>
      <c r="N25" s="240">
        <f>'[2]Apu''s postes y cableado'!G337</f>
        <v>165330</v>
      </c>
      <c r="O25" s="238">
        <f t="shared" si="0"/>
        <v>330660</v>
      </c>
      <c r="Q25" s="562"/>
    </row>
    <row r="26" spans="2:17" s="241" customFormat="1" ht="22.5" x14ac:dyDescent="0.25">
      <c r="B26" s="17" t="s">
        <v>318</v>
      </c>
      <c r="C26" s="235" t="s">
        <v>319</v>
      </c>
      <c r="D26" s="17" t="s">
        <v>290</v>
      </c>
      <c r="E26" s="17">
        <v>2</v>
      </c>
      <c r="F26" s="238">
        <v>714998</v>
      </c>
      <c r="G26" s="238">
        <f t="shared" si="1"/>
        <v>1429996</v>
      </c>
      <c r="H26" s="238">
        <v>712421</v>
      </c>
      <c r="I26" s="238">
        <f t="shared" si="2"/>
        <v>1424842</v>
      </c>
      <c r="J26" s="238">
        <v>705335</v>
      </c>
      <c r="K26" s="238">
        <f t="shared" si="3"/>
        <v>1410670</v>
      </c>
      <c r="L26" s="239">
        <f t="shared" si="4"/>
        <v>710918</v>
      </c>
      <c r="M26" s="239">
        <f t="shared" si="5"/>
        <v>1421836</v>
      </c>
      <c r="N26" s="240">
        <f>'[2]Apu''s postes y cableado'!G397</f>
        <v>453235</v>
      </c>
      <c r="O26" s="238">
        <f t="shared" si="0"/>
        <v>906470</v>
      </c>
      <c r="Q26" s="562"/>
    </row>
    <row r="27" spans="2:17" s="241" customFormat="1" x14ac:dyDescent="0.25">
      <c r="B27" s="236">
        <v>5</v>
      </c>
      <c r="C27" s="244" t="s">
        <v>320</v>
      </c>
      <c r="D27" s="245"/>
      <c r="E27" s="245"/>
      <c r="F27" s="248" t="s">
        <v>46</v>
      </c>
      <c r="G27" s="247">
        <f>SUM(G20:G26)</f>
        <v>28219642</v>
      </c>
      <c r="H27" s="248" t="s">
        <v>46</v>
      </c>
      <c r="I27" s="247">
        <f>SUM(I20:I26)</f>
        <v>28117968</v>
      </c>
      <c r="J27" s="248" t="s">
        <v>46</v>
      </c>
      <c r="K27" s="247">
        <f>SUM(K20:K26)</f>
        <v>27838160</v>
      </c>
      <c r="L27" s="248" t="s">
        <v>46</v>
      </c>
      <c r="M27" s="247">
        <f>SUM(M20:M26)</f>
        <v>28058576</v>
      </c>
      <c r="N27" s="248" t="s">
        <v>46</v>
      </c>
      <c r="O27" s="247">
        <f>SUM(O20:O26)</f>
        <v>22854538</v>
      </c>
      <c r="Q27" s="561"/>
    </row>
    <row r="28" spans="2:17" s="241" customFormat="1" x14ac:dyDescent="0.25">
      <c r="B28" s="17" t="s">
        <v>321</v>
      </c>
      <c r="C28" s="235" t="s">
        <v>322</v>
      </c>
      <c r="D28" s="17" t="s">
        <v>302</v>
      </c>
      <c r="E28" s="17">
        <v>120</v>
      </c>
      <c r="F28" s="238">
        <v>305805</v>
      </c>
      <c r="G28" s="238">
        <f t="shared" ref="G28:G35" si="6">F28*E28</f>
        <v>36696600</v>
      </c>
      <c r="H28" s="238">
        <v>304703</v>
      </c>
      <c r="I28" s="238">
        <f t="shared" ref="I28:I35" si="7">H28*E28</f>
        <v>36564360</v>
      </c>
      <c r="J28" s="238">
        <v>301673</v>
      </c>
      <c r="K28" s="238">
        <f t="shared" ref="K28:K35" si="8">J28*E28</f>
        <v>36200760</v>
      </c>
      <c r="L28" s="239">
        <f t="shared" ref="L28:L35" si="9">ROUND(((+F28+H28+J28)/3),0)</f>
        <v>304060</v>
      </c>
      <c r="M28" s="239">
        <f t="shared" ref="M28:M35" si="10">L28*E28</f>
        <v>36487200</v>
      </c>
      <c r="N28" s="240">
        <f>'[2]Apu''s obra civil (2)'!G52</f>
        <v>304060</v>
      </c>
      <c r="O28" s="238">
        <f t="shared" si="0"/>
        <v>36487200</v>
      </c>
      <c r="Q28" s="561"/>
    </row>
    <row r="29" spans="2:17" s="241" customFormat="1" ht="45" x14ac:dyDescent="0.25">
      <c r="B29" s="17" t="s">
        <v>323</v>
      </c>
      <c r="C29" s="235" t="s">
        <v>324</v>
      </c>
      <c r="D29" s="17" t="s">
        <v>302</v>
      </c>
      <c r="E29" s="17">
        <v>60</v>
      </c>
      <c r="F29" s="238">
        <v>249211</v>
      </c>
      <c r="G29" s="238">
        <f t="shared" si="6"/>
        <v>14952660</v>
      </c>
      <c r="H29" s="238">
        <v>248312</v>
      </c>
      <c r="I29" s="238">
        <f t="shared" si="7"/>
        <v>14898720</v>
      </c>
      <c r="J29" s="238">
        <v>245843</v>
      </c>
      <c r="K29" s="238">
        <f t="shared" si="8"/>
        <v>14750580</v>
      </c>
      <c r="L29" s="239">
        <f t="shared" si="9"/>
        <v>247789</v>
      </c>
      <c r="M29" s="239">
        <f t="shared" si="10"/>
        <v>14867340</v>
      </c>
      <c r="N29" s="240">
        <f>'[2]Apu''s obra civil (2)'!G110</f>
        <v>255820</v>
      </c>
      <c r="O29" s="238">
        <f t="shared" si="0"/>
        <v>15349200</v>
      </c>
      <c r="Q29" s="562"/>
    </row>
    <row r="30" spans="2:17" s="241" customFormat="1" ht="45" x14ac:dyDescent="0.25">
      <c r="B30" s="17" t="s">
        <v>325</v>
      </c>
      <c r="C30" s="235" t="s">
        <v>326</v>
      </c>
      <c r="D30" s="17" t="s">
        <v>302</v>
      </c>
      <c r="E30" s="17">
        <v>40</v>
      </c>
      <c r="F30" s="238">
        <v>368832</v>
      </c>
      <c r="G30" s="238">
        <f t="shared" si="6"/>
        <v>14753280</v>
      </c>
      <c r="H30" s="238">
        <v>367503</v>
      </c>
      <c r="I30" s="238">
        <f t="shared" si="7"/>
        <v>14700120</v>
      </c>
      <c r="J30" s="238">
        <v>363848</v>
      </c>
      <c r="K30" s="238">
        <f t="shared" si="8"/>
        <v>14553920</v>
      </c>
      <c r="L30" s="239">
        <f t="shared" si="9"/>
        <v>366728</v>
      </c>
      <c r="M30" s="239">
        <f t="shared" si="10"/>
        <v>14669120</v>
      </c>
      <c r="N30" s="240">
        <f>'[2]Apu''s obra civil (2)'!G168</f>
        <v>252874</v>
      </c>
      <c r="O30" s="238">
        <f t="shared" si="0"/>
        <v>10114960</v>
      </c>
      <c r="Q30" s="562"/>
    </row>
    <row r="31" spans="2:17" s="241" customFormat="1" x14ac:dyDescent="0.25">
      <c r="B31" s="17" t="s">
        <v>327</v>
      </c>
      <c r="C31" s="235" t="s">
        <v>328</v>
      </c>
      <c r="D31" s="17" t="s">
        <v>290</v>
      </c>
      <c r="E31" s="17">
        <v>20</v>
      </c>
      <c r="F31" s="238">
        <v>380743</v>
      </c>
      <c r="G31" s="238">
        <f t="shared" si="6"/>
        <v>7614860</v>
      </c>
      <c r="H31" s="238">
        <v>379371</v>
      </c>
      <c r="I31" s="238">
        <f t="shared" si="7"/>
        <v>7587420</v>
      </c>
      <c r="J31" s="238">
        <v>375598</v>
      </c>
      <c r="K31" s="238">
        <f t="shared" si="8"/>
        <v>7511960</v>
      </c>
      <c r="L31" s="239">
        <f t="shared" si="9"/>
        <v>378571</v>
      </c>
      <c r="M31" s="239">
        <f t="shared" si="10"/>
        <v>7571420</v>
      </c>
      <c r="N31" s="240">
        <f>'[2]Apu''s obra civil (2)'!G232</f>
        <v>300374</v>
      </c>
      <c r="O31" s="238">
        <f t="shared" si="0"/>
        <v>6007480</v>
      </c>
      <c r="Q31" s="562"/>
    </row>
    <row r="32" spans="2:17" s="241" customFormat="1" ht="45" x14ac:dyDescent="0.25">
      <c r="B32" s="17">
        <v>5.5</v>
      </c>
      <c r="C32" s="235" t="s">
        <v>329</v>
      </c>
      <c r="D32" s="17" t="s">
        <v>290</v>
      </c>
      <c r="E32" s="17">
        <v>16</v>
      </c>
      <c r="F32" s="238">
        <v>756629</v>
      </c>
      <c r="G32" s="238">
        <f t="shared" si="6"/>
        <v>12106064</v>
      </c>
      <c r="H32" s="238">
        <v>753903</v>
      </c>
      <c r="I32" s="238">
        <f t="shared" si="7"/>
        <v>12062448</v>
      </c>
      <c r="J32" s="238">
        <v>746405</v>
      </c>
      <c r="K32" s="238">
        <f t="shared" si="8"/>
        <v>11942480</v>
      </c>
      <c r="L32" s="239">
        <f t="shared" si="9"/>
        <v>752312</v>
      </c>
      <c r="M32" s="239">
        <f t="shared" si="10"/>
        <v>12036992</v>
      </c>
      <c r="N32" s="240">
        <f>'[2]Apu''s obra civil (2)'!G292</f>
        <v>542805</v>
      </c>
      <c r="O32" s="238">
        <f t="shared" si="0"/>
        <v>8684880</v>
      </c>
      <c r="Q32" s="562"/>
    </row>
    <row r="33" spans="2:17" s="241" customFormat="1" ht="33.75" x14ac:dyDescent="0.25">
      <c r="B33" s="17" t="s">
        <v>330</v>
      </c>
      <c r="C33" s="235" t="s">
        <v>331</v>
      </c>
      <c r="D33" s="17" t="s">
        <v>290</v>
      </c>
      <c r="E33" s="17">
        <v>4</v>
      </c>
      <c r="F33" s="238">
        <v>736267</v>
      </c>
      <c r="G33" s="238">
        <f t="shared" si="6"/>
        <v>2945068</v>
      </c>
      <c r="H33" s="238">
        <v>733614</v>
      </c>
      <c r="I33" s="238">
        <f t="shared" si="7"/>
        <v>2934456</v>
      </c>
      <c r="J33" s="238">
        <v>726318</v>
      </c>
      <c r="K33" s="238">
        <f t="shared" si="8"/>
        <v>2905272</v>
      </c>
      <c r="L33" s="239">
        <f t="shared" si="9"/>
        <v>732066</v>
      </c>
      <c r="M33" s="239">
        <f t="shared" si="10"/>
        <v>2928264</v>
      </c>
      <c r="N33" s="240">
        <f>'[2]Apu''s obra civil (2)'!G351</f>
        <v>516236</v>
      </c>
      <c r="O33" s="238">
        <f t="shared" si="0"/>
        <v>2064944</v>
      </c>
      <c r="Q33" s="562"/>
    </row>
    <row r="34" spans="2:17" s="241" customFormat="1" ht="22.5" x14ac:dyDescent="0.25">
      <c r="B34" s="17" t="s">
        <v>332</v>
      </c>
      <c r="C34" s="235" t="s">
        <v>333</v>
      </c>
      <c r="D34" s="17" t="s">
        <v>290</v>
      </c>
      <c r="E34" s="17">
        <v>8</v>
      </c>
      <c r="F34" s="238">
        <v>355229</v>
      </c>
      <c r="G34" s="238">
        <f t="shared" si="6"/>
        <v>2841832</v>
      </c>
      <c r="H34" s="238">
        <v>353949</v>
      </c>
      <c r="I34" s="238">
        <f t="shared" si="7"/>
        <v>2831592</v>
      </c>
      <c r="J34" s="238">
        <v>350428</v>
      </c>
      <c r="K34" s="238">
        <f t="shared" si="8"/>
        <v>2803424</v>
      </c>
      <c r="L34" s="239">
        <f t="shared" si="9"/>
        <v>353202</v>
      </c>
      <c r="M34" s="239">
        <f t="shared" si="10"/>
        <v>2825616</v>
      </c>
      <c r="N34" s="240">
        <f>'[2]Apu''s obra civil (2)'!G406</f>
        <v>353201</v>
      </c>
      <c r="O34" s="238">
        <f t="shared" si="0"/>
        <v>2825608</v>
      </c>
      <c r="Q34" s="562"/>
    </row>
    <row r="35" spans="2:17" s="241" customFormat="1" x14ac:dyDescent="0.25">
      <c r="B35" s="17" t="s">
        <v>334</v>
      </c>
      <c r="C35" s="235" t="s">
        <v>335</v>
      </c>
      <c r="D35" s="17" t="s">
        <v>336</v>
      </c>
      <c r="E35" s="17">
        <v>4</v>
      </c>
      <c r="F35" s="238">
        <v>442832</v>
      </c>
      <c r="G35" s="238">
        <f t="shared" si="6"/>
        <v>1771328</v>
      </c>
      <c r="H35" s="238">
        <v>441236</v>
      </c>
      <c r="I35" s="238">
        <f t="shared" si="7"/>
        <v>1764944</v>
      </c>
      <c r="J35" s="238">
        <v>438848</v>
      </c>
      <c r="K35" s="238">
        <f t="shared" si="8"/>
        <v>1755392</v>
      </c>
      <c r="L35" s="239">
        <f t="shared" si="9"/>
        <v>440972</v>
      </c>
      <c r="M35" s="239">
        <f t="shared" si="10"/>
        <v>1763888</v>
      </c>
      <c r="N35" s="240">
        <f>'[2]Apu''s obra civil (2)'!G465</f>
        <v>440972</v>
      </c>
      <c r="O35" s="238">
        <f t="shared" si="0"/>
        <v>1763888</v>
      </c>
      <c r="Q35" s="562"/>
    </row>
    <row r="36" spans="2:17" s="241" customFormat="1" x14ac:dyDescent="0.25">
      <c r="B36" s="236">
        <v>6</v>
      </c>
      <c r="C36" s="244" t="s">
        <v>337</v>
      </c>
      <c r="D36" s="245"/>
      <c r="E36" s="245"/>
      <c r="F36" s="248" t="s">
        <v>305</v>
      </c>
      <c r="G36" s="247">
        <f>SUM(G28:G35)</f>
        <v>93681692</v>
      </c>
      <c r="H36" s="248" t="s">
        <v>305</v>
      </c>
      <c r="I36" s="247">
        <f>SUM(I28:I35)</f>
        <v>93344060</v>
      </c>
      <c r="J36" s="248" t="s">
        <v>305</v>
      </c>
      <c r="K36" s="247">
        <f>SUM(K28:K35)</f>
        <v>92423788</v>
      </c>
      <c r="L36" s="248" t="s">
        <v>305</v>
      </c>
      <c r="M36" s="247">
        <f>SUM(M28:M35)</f>
        <v>93149840</v>
      </c>
      <c r="N36" s="248" t="s">
        <v>46</v>
      </c>
      <c r="O36" s="247">
        <f>SUM(O28:O35)</f>
        <v>83298160</v>
      </c>
      <c r="Q36" s="561"/>
    </row>
    <row r="37" spans="2:17" s="241" customFormat="1" ht="33.75" x14ac:dyDescent="0.25">
      <c r="B37" s="17" t="s">
        <v>338</v>
      </c>
      <c r="C37" s="235" t="s">
        <v>339</v>
      </c>
      <c r="D37" s="17" t="s">
        <v>340</v>
      </c>
      <c r="E37" s="17">
        <v>20</v>
      </c>
      <c r="F37" s="238">
        <v>30414</v>
      </c>
      <c r="G37" s="238">
        <f>F37*E37</f>
        <v>608280</v>
      </c>
      <c r="H37" s="238">
        <v>30304.400000000001</v>
      </c>
      <c r="I37" s="238">
        <f>H37*E37</f>
        <v>606088</v>
      </c>
      <c r="J37" s="238">
        <v>30003</v>
      </c>
      <c r="K37" s="238">
        <f>J37*E37</f>
        <v>600060</v>
      </c>
      <c r="L37" s="239">
        <f>ROUND(((+F37+H37+J37)/3),0)</f>
        <v>30240</v>
      </c>
      <c r="M37" s="239">
        <f>L37*E37</f>
        <v>604800</v>
      </c>
      <c r="N37" s="240">
        <f>'[2]Apu''s señalizacion'!G45</f>
        <v>40453.918802717002</v>
      </c>
      <c r="O37" s="238">
        <f>E37*N37</f>
        <v>809078.37605434004</v>
      </c>
      <c r="Q37" s="561"/>
    </row>
    <row r="38" spans="2:17" s="241" customFormat="1" ht="22.5" x14ac:dyDescent="0.25">
      <c r="B38" s="17" t="s">
        <v>341</v>
      </c>
      <c r="C38" s="235" t="s">
        <v>342</v>
      </c>
      <c r="D38" s="17" t="s">
        <v>169</v>
      </c>
      <c r="E38" s="17">
        <v>8</v>
      </c>
      <c r="F38" s="238">
        <v>1520700</v>
      </c>
      <c r="G38" s="238">
        <f>F38*E38</f>
        <v>12165600</v>
      </c>
      <c r="H38" s="238">
        <v>1515220</v>
      </c>
      <c r="I38" s="238">
        <f>H38*E38</f>
        <v>12121760</v>
      </c>
      <c r="J38" s="238">
        <v>1500150</v>
      </c>
      <c r="K38" s="238">
        <f>J38*E38</f>
        <v>12001200</v>
      </c>
      <c r="L38" s="239">
        <f>ROUND(((+F38+H38+J38)/3),0)</f>
        <v>1512023</v>
      </c>
      <c r="M38" s="239">
        <f>L38*E38</f>
        <v>12096184</v>
      </c>
      <c r="N38" s="240">
        <f>'[2]Apu''s señalizacion'!G106</f>
        <v>268941</v>
      </c>
      <c r="O38" s="238">
        <f>E38*N38</f>
        <v>2151528</v>
      </c>
    </row>
    <row r="39" spans="2:17" s="241" customFormat="1" ht="22.5" x14ac:dyDescent="0.25">
      <c r="B39" s="17" t="s">
        <v>343</v>
      </c>
      <c r="C39" s="235" t="s">
        <v>344</v>
      </c>
      <c r="D39" s="17" t="s">
        <v>345</v>
      </c>
      <c r="E39" s="17">
        <v>120</v>
      </c>
      <c r="F39" s="238">
        <v>2775</v>
      </c>
      <c r="G39" s="238">
        <f>F39*E39</f>
        <v>333000</v>
      </c>
      <c r="H39" s="238">
        <v>2765</v>
      </c>
      <c r="I39" s="238">
        <f>H39*E39</f>
        <v>331800</v>
      </c>
      <c r="J39" s="238">
        <v>2738</v>
      </c>
      <c r="K39" s="238">
        <f>J39*E39</f>
        <v>328560</v>
      </c>
      <c r="L39" s="239">
        <f>ROUND(((+F39+H39+J39)/3),0)</f>
        <v>2759</v>
      </c>
      <c r="M39" s="239">
        <v>1077750</v>
      </c>
      <c r="N39" s="240">
        <f>'[2]Apu''s señalizacion'!G164</f>
        <v>2525</v>
      </c>
      <c r="O39" s="238">
        <f>E39*N39</f>
        <v>303000</v>
      </c>
    </row>
    <row r="40" spans="2:17" s="241" customFormat="1" x14ac:dyDescent="0.25">
      <c r="B40" s="250"/>
      <c r="C40" s="251"/>
      <c r="D40" s="252"/>
      <c r="E40" s="252"/>
      <c r="F40" s="248" t="s">
        <v>305</v>
      </c>
      <c r="G40" s="247">
        <f>SUM(G37:G39)</f>
        <v>13106880</v>
      </c>
      <c r="H40" s="248"/>
      <c r="I40" s="247">
        <f>SUM(I37:I39)</f>
        <v>13059648</v>
      </c>
      <c r="J40" s="248" t="s">
        <v>305</v>
      </c>
      <c r="K40" s="247">
        <f>SUM(K37:K39)</f>
        <v>12929820</v>
      </c>
      <c r="L40" s="248" t="s">
        <v>305</v>
      </c>
      <c r="M40" s="247">
        <f>SUM(M37:M39)</f>
        <v>13778734</v>
      </c>
      <c r="N40" s="248" t="s">
        <v>46</v>
      </c>
      <c r="O40" s="247">
        <f>SUM(O37:O39)</f>
        <v>3263606.37605434</v>
      </c>
    </row>
    <row r="41" spans="2:17" x14ac:dyDescent="0.25">
      <c r="B41" s="253"/>
      <c r="C41" s="782" t="s">
        <v>257</v>
      </c>
      <c r="D41" s="782"/>
      <c r="E41" s="782"/>
      <c r="F41" s="784">
        <f>ROUND(G11+G15+G19+G27+G36+G40,0)</f>
        <v>435802926</v>
      </c>
      <c r="G41" s="784"/>
      <c r="H41" s="784">
        <f>ROUND(I11+I15+I19+I27+I36+I40,0)</f>
        <v>434232438</v>
      </c>
      <c r="I41" s="784"/>
      <c r="J41" s="784">
        <f>ROUND(K11+K15+K19+K27+K36+K40,0)</f>
        <v>429930042</v>
      </c>
      <c r="K41" s="784"/>
      <c r="L41" s="784">
        <f>ROUND(M11+M15+M19+M27+M36+M40,0)</f>
        <v>434068400</v>
      </c>
      <c r="M41" s="784"/>
      <c r="N41" s="784">
        <f>ROUND(O11+O15+O19+O27+O36+O40,0)</f>
        <v>401343774</v>
      </c>
      <c r="O41" s="784"/>
    </row>
    <row r="42" spans="2:17" x14ac:dyDescent="0.25">
      <c r="B42" s="253"/>
      <c r="C42" s="782" t="s">
        <v>617</v>
      </c>
      <c r="D42" s="782"/>
      <c r="E42" s="782"/>
      <c r="F42" s="777">
        <f>ROUND((F41*0.35),0)</f>
        <v>152531024</v>
      </c>
      <c r="G42" s="777"/>
      <c r="H42" s="777">
        <f>ROUND((H41*0.35),0)</f>
        <v>151981353</v>
      </c>
      <c r="I42" s="777"/>
      <c r="J42" s="777">
        <f>ROUND((J41*0.35),0)</f>
        <v>150475515</v>
      </c>
      <c r="K42" s="777"/>
      <c r="L42" s="777">
        <f>ROUND((L41*0.35),0)</f>
        <v>151923940</v>
      </c>
      <c r="M42" s="777"/>
      <c r="N42" s="785">
        <f>ROUND((N41*0.35),0)</f>
        <v>140470321</v>
      </c>
      <c r="O42" s="785"/>
    </row>
    <row r="43" spans="2:17" x14ac:dyDescent="0.25">
      <c r="B43" s="253"/>
      <c r="C43" s="782" t="s">
        <v>346</v>
      </c>
      <c r="D43" s="782"/>
      <c r="E43" s="782"/>
      <c r="F43" s="777">
        <f>F41+F42</f>
        <v>588333950</v>
      </c>
      <c r="G43" s="777"/>
      <c r="H43" s="777">
        <f>H41+H42</f>
        <v>586213791</v>
      </c>
      <c r="I43" s="777"/>
      <c r="J43" s="777">
        <f>J41+J42</f>
        <v>580405557</v>
      </c>
      <c r="K43" s="777"/>
      <c r="L43" s="777">
        <f>L41+L42</f>
        <v>585992340</v>
      </c>
      <c r="M43" s="783"/>
      <c r="N43" s="555">
        <f>N41+N42</f>
        <v>541814095</v>
      </c>
      <c r="O43" s="556"/>
    </row>
    <row r="44" spans="2:17" x14ac:dyDescent="0.25">
      <c r="B44" s="778"/>
      <c r="C44" s="778"/>
      <c r="D44" s="778"/>
      <c r="E44" s="778"/>
    </row>
    <row r="45" spans="2:17" x14ac:dyDescent="0.25">
      <c r="B45" s="254"/>
      <c r="C45" s="254"/>
      <c r="D45" s="254"/>
      <c r="E45" s="254"/>
    </row>
    <row r="46" spans="2:17" x14ac:dyDescent="0.25">
      <c r="B46" s="254"/>
      <c r="C46" s="254"/>
      <c r="D46" s="254"/>
      <c r="E46" s="254"/>
    </row>
    <row r="47" spans="2:17" x14ac:dyDescent="0.25">
      <c r="B47" s="254"/>
      <c r="C47" s="255"/>
      <c r="D47" s="254"/>
      <c r="E47" s="254"/>
      <c r="F47" s="256"/>
      <c r="H47" s="211"/>
      <c r="I47" s="722" t="s">
        <v>618</v>
      </c>
      <c r="J47" s="212"/>
      <c r="L47" s="257"/>
    </row>
    <row r="48" spans="2:17" x14ac:dyDescent="0.25">
      <c r="B48" s="254"/>
      <c r="C48" s="254"/>
      <c r="D48" s="254"/>
      <c r="E48" s="254"/>
      <c r="H48" s="211"/>
      <c r="I48" s="213" t="s">
        <v>619</v>
      </c>
      <c r="J48" s="211"/>
    </row>
    <row r="49" spans="2:13" ht="18.75" x14ac:dyDescent="0.3">
      <c r="B49" s="779"/>
      <c r="C49" s="779"/>
      <c r="D49" s="779"/>
      <c r="E49" s="779"/>
    </row>
    <row r="50" spans="2:13" x14ac:dyDescent="0.25">
      <c r="B50" s="780"/>
      <c r="C50" s="780"/>
      <c r="D50" s="780"/>
      <c r="E50" s="780"/>
    </row>
    <row r="51" spans="2:13" x14ac:dyDescent="0.25">
      <c r="B51" s="258"/>
      <c r="C51" s="258"/>
      <c r="D51" s="258"/>
      <c r="E51" s="258"/>
    </row>
    <row r="52" spans="2:13" x14ac:dyDescent="0.25">
      <c r="B52" s="258"/>
      <c r="C52" s="258"/>
      <c r="D52" s="258"/>
      <c r="E52" s="258"/>
    </row>
    <row r="55" spans="2:13" x14ac:dyDescent="0.25">
      <c r="C55" s="259"/>
    </row>
    <row r="56" spans="2:13" ht="20.25" x14ac:dyDescent="0.3">
      <c r="C56" s="260"/>
    </row>
    <row r="57" spans="2:13" x14ac:dyDescent="0.25">
      <c r="C57" s="259"/>
    </row>
    <row r="58" spans="2:13" x14ac:dyDescent="0.25">
      <c r="C58" s="781"/>
      <c r="D58" s="781"/>
      <c r="E58" s="781"/>
      <c r="F58" s="781"/>
      <c r="G58" s="781"/>
      <c r="H58" s="781"/>
      <c r="I58" s="781"/>
      <c r="J58" s="781"/>
      <c r="K58" s="781"/>
      <c r="L58" s="781"/>
      <c r="M58" s="781"/>
    </row>
  </sheetData>
  <mergeCells count="31">
    <mergeCell ref="L41:M41"/>
    <mergeCell ref="N42:O42"/>
    <mergeCell ref="N41:O41"/>
    <mergeCell ref="B1:O1"/>
    <mergeCell ref="B2:O2"/>
    <mergeCell ref="B3:O3"/>
    <mergeCell ref="D4:D5"/>
    <mergeCell ref="E4:E5"/>
    <mergeCell ref="F4:G4"/>
    <mergeCell ref="H4:I4"/>
    <mergeCell ref="J4:K4"/>
    <mergeCell ref="L4:M4"/>
    <mergeCell ref="N4:O4"/>
    <mergeCell ref="C41:E41"/>
    <mergeCell ref="F41:G41"/>
    <mergeCell ref="H41:I41"/>
    <mergeCell ref="J41:K41"/>
    <mergeCell ref="C42:E42"/>
    <mergeCell ref="F42:G42"/>
    <mergeCell ref="H42:I42"/>
    <mergeCell ref="J42:K42"/>
    <mergeCell ref="L42:M42"/>
    <mergeCell ref="B44:E44"/>
    <mergeCell ref="B49:E49"/>
    <mergeCell ref="B50:E50"/>
    <mergeCell ref="C58:M58"/>
    <mergeCell ref="C43:E43"/>
    <mergeCell ref="F43:G43"/>
    <mergeCell ref="H43:I43"/>
    <mergeCell ref="J43:K43"/>
    <mergeCell ref="L43:M43"/>
  </mergeCells>
  <pageMargins left="0.7" right="0.7" top="0.75" bottom="0.75" header="0.3" footer="0.3"/>
  <pageSetup paperSize="5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A1:I53"/>
  <sheetViews>
    <sheetView topLeftCell="A34" workbookViewId="0">
      <selection activeCell="C43" sqref="C43:C44"/>
    </sheetView>
  </sheetViews>
  <sheetFormatPr baseColWidth="10" defaultRowHeight="15" x14ac:dyDescent="0.25"/>
  <cols>
    <col min="1" max="1" width="5.140625" style="5" customWidth="1"/>
    <col min="2" max="2" width="45" style="5" customWidth="1"/>
    <col min="3" max="3" width="8.28515625" style="5" customWidth="1"/>
    <col min="4" max="4" width="7.42578125" style="5" customWidth="1"/>
    <col min="5" max="5" width="11" style="5" customWidth="1"/>
    <col min="6" max="6" width="10.85546875" style="5" customWidth="1"/>
    <col min="7" max="16384" width="11.42578125" style="5"/>
  </cols>
  <sheetData>
    <row r="1" spans="1:6" ht="33.75" customHeight="1" x14ac:dyDescent="0.25">
      <c r="A1" s="799" t="s">
        <v>607</v>
      </c>
      <c r="B1" s="799"/>
      <c r="C1" s="799"/>
      <c r="D1" s="799"/>
      <c r="E1" s="799"/>
      <c r="F1" s="799"/>
    </row>
    <row r="2" spans="1:6" x14ac:dyDescent="0.25">
      <c r="A2" s="800" t="s">
        <v>272</v>
      </c>
      <c r="B2" s="800"/>
      <c r="C2" s="800"/>
      <c r="D2" s="800"/>
      <c r="E2" s="800"/>
      <c r="F2" s="800"/>
    </row>
    <row r="3" spans="1:6" ht="15" customHeight="1" x14ac:dyDescent="0.25">
      <c r="A3" s="261">
        <v>1</v>
      </c>
      <c r="B3" s="261" t="s">
        <v>277</v>
      </c>
      <c r="C3" s="261" t="s">
        <v>347</v>
      </c>
      <c r="D3" s="261" t="s">
        <v>348</v>
      </c>
      <c r="E3" s="261" t="s">
        <v>349</v>
      </c>
      <c r="F3" s="261" t="s">
        <v>350</v>
      </c>
    </row>
    <row r="4" spans="1:6" ht="21" customHeight="1" x14ac:dyDescent="0.25">
      <c r="A4" s="17" t="s">
        <v>185</v>
      </c>
      <c r="B4" s="216" t="s">
        <v>279</v>
      </c>
      <c r="C4" s="17" t="s">
        <v>13</v>
      </c>
      <c r="D4" s="17">
        <v>4</v>
      </c>
      <c r="E4" s="218">
        <f>'[2]Apu''s preliminares'!G54</f>
        <v>2229284</v>
      </c>
      <c r="F4" s="218">
        <f>E4*D4</f>
        <v>8917136</v>
      </c>
    </row>
    <row r="5" spans="1:6" ht="21.95" customHeight="1" x14ac:dyDescent="0.25">
      <c r="A5" s="17" t="s">
        <v>280</v>
      </c>
      <c r="B5" s="216" t="s">
        <v>281</v>
      </c>
      <c r="C5" s="17" t="s">
        <v>13</v>
      </c>
      <c r="D5" s="17">
        <v>4</v>
      </c>
      <c r="E5" s="218">
        <f>'[2]Apu''s preliminares'!G110</f>
        <v>1309170</v>
      </c>
      <c r="F5" s="218">
        <f>E5*D5</f>
        <v>5236680</v>
      </c>
    </row>
    <row r="6" spans="1:6" ht="21.95" customHeight="1" x14ac:dyDescent="0.25">
      <c r="A6" s="242" t="s">
        <v>282</v>
      </c>
      <c r="B6" s="216" t="s">
        <v>283</v>
      </c>
      <c r="C6" s="17" t="s">
        <v>13</v>
      </c>
      <c r="D6" s="242">
        <v>4</v>
      </c>
      <c r="E6" s="262">
        <f>'[2]Apu''s preliminares'!G166</f>
        <v>784398</v>
      </c>
      <c r="F6" s="218">
        <f>E6*D6</f>
        <v>3137592</v>
      </c>
    </row>
    <row r="7" spans="1:6" ht="22.5" x14ac:dyDescent="0.25">
      <c r="A7" s="242" t="s">
        <v>284</v>
      </c>
      <c r="B7" s="216" t="s">
        <v>285</v>
      </c>
      <c r="C7" s="17" t="s">
        <v>13</v>
      </c>
      <c r="D7" s="242">
        <v>4</v>
      </c>
      <c r="E7" s="262">
        <f>'[2]Apu''s preliminares'!G224</f>
        <v>678271</v>
      </c>
      <c r="F7" s="218">
        <f>E7*D7</f>
        <v>2713084</v>
      </c>
    </row>
    <row r="8" spans="1:6" x14ac:dyDescent="0.25">
      <c r="A8" s="242" t="s">
        <v>286</v>
      </c>
      <c r="B8" s="216" t="s">
        <v>287</v>
      </c>
      <c r="C8" s="17" t="s">
        <v>13</v>
      </c>
      <c r="D8" s="242">
        <v>4</v>
      </c>
      <c r="E8" s="262">
        <f>'[2]Apu''s preliminares'!G282</f>
        <v>936099</v>
      </c>
      <c r="F8" s="218">
        <f>E8*D8</f>
        <v>3744396</v>
      </c>
    </row>
    <row r="9" spans="1:6" x14ac:dyDescent="0.25">
      <c r="A9" s="261">
        <v>2</v>
      </c>
      <c r="B9" s="263" t="s">
        <v>288</v>
      </c>
      <c r="C9" s="261" t="s">
        <v>347</v>
      </c>
      <c r="D9" s="261" t="s">
        <v>348</v>
      </c>
      <c r="E9" s="261" t="s">
        <v>349</v>
      </c>
      <c r="F9" s="261" t="s">
        <v>350</v>
      </c>
    </row>
    <row r="10" spans="1:6" ht="45.75" customHeight="1" x14ac:dyDescent="0.25">
      <c r="A10" s="264" t="s">
        <v>289</v>
      </c>
      <c r="B10" s="216" t="s">
        <v>610</v>
      </c>
      <c r="C10" s="17" t="s">
        <v>13</v>
      </c>
      <c r="D10" s="17">
        <v>2</v>
      </c>
      <c r="E10" s="265">
        <f>'[2]Apu''s equipos Nuevos (2)'!G47</f>
        <v>79622193</v>
      </c>
      <c r="F10" s="218">
        <f>E10*D10</f>
        <v>159244386</v>
      </c>
    </row>
    <row r="11" spans="1:6" ht="26.1" customHeight="1" x14ac:dyDescent="0.25">
      <c r="A11" s="264" t="s">
        <v>291</v>
      </c>
      <c r="B11" s="216" t="s">
        <v>292</v>
      </c>
      <c r="C11" s="17" t="s">
        <v>13</v>
      </c>
      <c r="D11" s="17">
        <v>2</v>
      </c>
      <c r="E11" s="265">
        <f>'[2]Apu''s equipos Nuevos (2)'!G105</f>
        <v>5576213</v>
      </c>
      <c r="F11" s="218">
        <f>E11*D11</f>
        <v>11152426</v>
      </c>
    </row>
    <row r="12" spans="1:6" ht="33.75" x14ac:dyDescent="0.25">
      <c r="A12" s="264" t="s">
        <v>293</v>
      </c>
      <c r="B12" s="216" t="s">
        <v>294</v>
      </c>
      <c r="C12" s="17" t="s">
        <v>13</v>
      </c>
      <c r="D12" s="17">
        <v>2</v>
      </c>
      <c r="E12" s="265">
        <f>'[2]Apu''s equipos Nuevos (2)'!G155</f>
        <v>16111864</v>
      </c>
      <c r="F12" s="218">
        <f>E12*D12</f>
        <v>32223728</v>
      </c>
    </row>
    <row r="13" spans="1:6" ht="26.1" customHeight="1" x14ac:dyDescent="0.25">
      <c r="A13" s="261">
        <v>3</v>
      </c>
      <c r="B13" s="263" t="s">
        <v>295</v>
      </c>
      <c r="C13" s="261" t="s">
        <v>347</v>
      </c>
      <c r="D13" s="261" t="s">
        <v>348</v>
      </c>
      <c r="E13" s="261" t="s">
        <v>349</v>
      </c>
      <c r="F13" s="261" t="s">
        <v>350</v>
      </c>
    </row>
    <row r="14" spans="1:6" ht="42" customHeight="1" x14ac:dyDescent="0.25">
      <c r="A14" s="242" t="s">
        <v>296</v>
      </c>
      <c r="B14" s="216" t="s">
        <v>297</v>
      </c>
      <c r="C14" s="17" t="s">
        <v>13</v>
      </c>
      <c r="D14" s="242">
        <v>4</v>
      </c>
      <c r="E14" s="262">
        <f>'[2]Apu''s Semaforos (2)'!G48</f>
        <v>4270390</v>
      </c>
      <c r="F14" s="218">
        <f>E14*D14</f>
        <v>17081560</v>
      </c>
    </row>
    <row r="15" spans="1:6" ht="44.1" customHeight="1" x14ac:dyDescent="0.25">
      <c r="A15" s="242" t="s">
        <v>298</v>
      </c>
      <c r="B15" s="216" t="s">
        <v>299</v>
      </c>
      <c r="C15" s="17" t="s">
        <v>13</v>
      </c>
      <c r="D15" s="242">
        <v>6</v>
      </c>
      <c r="E15" s="262">
        <f>'[2]Apu''s Semaforos (2)'!G102</f>
        <v>4122631</v>
      </c>
      <c r="F15" s="218">
        <f>E15*D15</f>
        <v>24735786</v>
      </c>
    </row>
    <row r="16" spans="1:6" ht="42" customHeight="1" x14ac:dyDescent="0.25">
      <c r="A16" s="242" t="s">
        <v>300</v>
      </c>
      <c r="B16" s="216" t="s">
        <v>351</v>
      </c>
      <c r="C16" s="17" t="s">
        <v>352</v>
      </c>
      <c r="D16" s="242">
        <v>8</v>
      </c>
      <c r="E16" s="262">
        <f>'[2]Apu''s Semaforos (2)'!G153</f>
        <v>2967587</v>
      </c>
      <c r="F16" s="218">
        <f>E16*D16</f>
        <v>23740696</v>
      </c>
    </row>
    <row r="17" spans="1:6" x14ac:dyDescent="0.25">
      <c r="A17" s="261">
        <v>4</v>
      </c>
      <c r="B17" s="261" t="s">
        <v>304</v>
      </c>
      <c r="C17" s="261" t="s">
        <v>347</v>
      </c>
      <c r="D17" s="261" t="s">
        <v>348</v>
      </c>
      <c r="E17" s="261" t="s">
        <v>349</v>
      </c>
      <c r="F17" s="261" t="s">
        <v>350</v>
      </c>
    </row>
    <row r="18" spans="1:6" ht="56.25" x14ac:dyDescent="0.25">
      <c r="A18" s="17" t="s">
        <v>306</v>
      </c>
      <c r="B18" s="216" t="s">
        <v>307</v>
      </c>
      <c r="C18" s="17" t="s">
        <v>13</v>
      </c>
      <c r="D18" s="17">
        <v>4</v>
      </c>
      <c r="E18" s="218">
        <f>'[3]Apu''s postes y cableado'!G53</f>
        <v>1366607</v>
      </c>
      <c r="F18" s="218">
        <f t="shared" ref="F18:F24" si="0">E18*D18</f>
        <v>5466428</v>
      </c>
    </row>
    <row r="19" spans="1:6" ht="56.25" x14ac:dyDescent="0.25">
      <c r="A19" s="17" t="s">
        <v>308</v>
      </c>
      <c r="B19" s="216" t="s">
        <v>309</v>
      </c>
      <c r="C19" s="17" t="s">
        <v>13</v>
      </c>
      <c r="D19" s="17">
        <v>4</v>
      </c>
      <c r="E19" s="266">
        <f>'[3]Apu''s postes y cableado'!G105</f>
        <v>2389720</v>
      </c>
      <c r="F19" s="218">
        <f t="shared" si="0"/>
        <v>9558880</v>
      </c>
    </row>
    <row r="20" spans="1:6" ht="21.95" customHeight="1" x14ac:dyDescent="0.25">
      <c r="A20" s="17" t="s">
        <v>310</v>
      </c>
      <c r="B20" s="216" t="s">
        <v>311</v>
      </c>
      <c r="C20" s="17" t="s">
        <v>352</v>
      </c>
      <c r="D20" s="17">
        <v>210</v>
      </c>
      <c r="E20" s="218">
        <f>'[3]Apu''s postes y cableado'!G164</f>
        <v>13466</v>
      </c>
      <c r="F20" s="218">
        <f t="shared" si="0"/>
        <v>2827860</v>
      </c>
    </row>
    <row r="21" spans="1:6" ht="26.1" customHeight="1" x14ac:dyDescent="0.25">
      <c r="A21" s="17" t="s">
        <v>312</v>
      </c>
      <c r="B21" s="216" t="s">
        <v>313</v>
      </c>
      <c r="C21" s="17" t="s">
        <v>352</v>
      </c>
      <c r="D21" s="17">
        <v>250</v>
      </c>
      <c r="E21" s="218">
        <f>'[3]Apu''s postes y cableado'!G223</f>
        <v>11064</v>
      </c>
      <c r="F21" s="218">
        <f t="shared" si="0"/>
        <v>2766000</v>
      </c>
    </row>
    <row r="22" spans="1:6" ht="33.75" x14ac:dyDescent="0.25">
      <c r="A22" s="17" t="s">
        <v>314</v>
      </c>
      <c r="B22" s="216" t="s">
        <v>315</v>
      </c>
      <c r="C22" s="17" t="s">
        <v>352</v>
      </c>
      <c r="D22" s="17">
        <v>40</v>
      </c>
      <c r="E22" s="218">
        <f>'[3]Apu''s postes y cableado'!G279</f>
        <v>24956</v>
      </c>
      <c r="F22" s="218">
        <f t="shared" si="0"/>
        <v>998240</v>
      </c>
    </row>
    <row r="23" spans="1:6" ht="45.75" customHeight="1" x14ac:dyDescent="0.25">
      <c r="A23" s="17" t="s">
        <v>316</v>
      </c>
      <c r="B23" s="216" t="s">
        <v>317</v>
      </c>
      <c r="C23" s="17" t="s">
        <v>13</v>
      </c>
      <c r="D23" s="17">
        <v>2</v>
      </c>
      <c r="E23" s="218">
        <f>'[3]Apu''s postes y cableado'!G337</f>
        <v>165330</v>
      </c>
      <c r="F23" s="218">
        <f t="shared" si="0"/>
        <v>330660</v>
      </c>
    </row>
    <row r="24" spans="1:6" ht="20.100000000000001" customHeight="1" x14ac:dyDescent="0.25">
      <c r="A24" s="17" t="s">
        <v>318</v>
      </c>
      <c r="B24" s="216" t="s">
        <v>319</v>
      </c>
      <c r="C24" s="17" t="s">
        <v>13</v>
      </c>
      <c r="D24" s="17">
        <v>2</v>
      </c>
      <c r="E24" s="218">
        <f>'[3]Apu''s postes y cableado'!G397</f>
        <v>453235</v>
      </c>
      <c r="F24" s="218">
        <f t="shared" si="0"/>
        <v>906470</v>
      </c>
    </row>
    <row r="25" spans="1:6" s="267" customFormat="1" x14ac:dyDescent="0.25">
      <c r="A25" s="261">
        <v>5</v>
      </c>
      <c r="B25" s="261" t="s">
        <v>320</v>
      </c>
      <c r="C25" s="261" t="s">
        <v>347</v>
      </c>
      <c r="D25" s="261" t="s">
        <v>348</v>
      </c>
      <c r="E25" s="261" t="s">
        <v>349</v>
      </c>
      <c r="F25" s="261" t="s">
        <v>350</v>
      </c>
    </row>
    <row r="26" spans="1:6" ht="18.75" customHeight="1" x14ac:dyDescent="0.25">
      <c r="A26" s="17" t="s">
        <v>321</v>
      </c>
      <c r="B26" s="216" t="s">
        <v>322</v>
      </c>
      <c r="C26" s="17" t="s">
        <v>352</v>
      </c>
      <c r="D26" s="17">
        <v>120</v>
      </c>
      <c r="E26" s="218">
        <f>'[2]Apu''s obra civil (2)'!G52</f>
        <v>304060</v>
      </c>
      <c r="F26" s="218">
        <f t="shared" ref="F26:F33" si="1">E26*D26</f>
        <v>36487200</v>
      </c>
    </row>
    <row r="27" spans="1:6" ht="45" customHeight="1" x14ac:dyDescent="0.25">
      <c r="A27" s="17" t="s">
        <v>323</v>
      </c>
      <c r="B27" s="216" t="s">
        <v>324</v>
      </c>
      <c r="C27" s="17" t="s">
        <v>352</v>
      </c>
      <c r="D27" s="17">
        <v>60</v>
      </c>
      <c r="E27" s="218">
        <f>'[2]Apu''s obra civil (2)'!G110</f>
        <v>255820</v>
      </c>
      <c r="F27" s="218">
        <f t="shared" si="1"/>
        <v>15349200</v>
      </c>
    </row>
    <row r="28" spans="1:6" ht="48" customHeight="1" x14ac:dyDescent="0.25">
      <c r="A28" s="17" t="s">
        <v>325</v>
      </c>
      <c r="B28" s="216" t="s">
        <v>326</v>
      </c>
      <c r="C28" s="17" t="s">
        <v>352</v>
      </c>
      <c r="D28" s="17">
        <v>40</v>
      </c>
      <c r="E28" s="218">
        <f>'[2]Apu''s obra civil (2)'!G168</f>
        <v>252874</v>
      </c>
      <c r="F28" s="218">
        <f t="shared" si="1"/>
        <v>10114960</v>
      </c>
    </row>
    <row r="29" spans="1:6" ht="20.100000000000001" customHeight="1" x14ac:dyDescent="0.25">
      <c r="A29" s="17" t="s">
        <v>327</v>
      </c>
      <c r="B29" s="216" t="s">
        <v>328</v>
      </c>
      <c r="C29" s="17" t="s">
        <v>13</v>
      </c>
      <c r="D29" s="17">
        <v>20</v>
      </c>
      <c r="E29" s="218">
        <f>'[2]Apu''s obra civil (2)'!G232</f>
        <v>300374</v>
      </c>
      <c r="F29" s="218">
        <f t="shared" si="1"/>
        <v>6007480</v>
      </c>
    </row>
    <row r="30" spans="1:6" ht="32.1" customHeight="1" x14ac:dyDescent="0.25">
      <c r="A30" s="17">
        <v>5.5</v>
      </c>
      <c r="B30" s="216" t="s">
        <v>329</v>
      </c>
      <c r="C30" s="17" t="s">
        <v>13</v>
      </c>
      <c r="D30" s="17">
        <v>16</v>
      </c>
      <c r="E30" s="218">
        <f>'[2]Apu''s obra civil (2)'!G292</f>
        <v>542805</v>
      </c>
      <c r="F30" s="218">
        <f t="shared" si="1"/>
        <v>8684880</v>
      </c>
    </row>
    <row r="31" spans="1:6" ht="33.75" x14ac:dyDescent="0.25">
      <c r="A31" s="17" t="s">
        <v>330</v>
      </c>
      <c r="B31" s="216" t="s">
        <v>331</v>
      </c>
      <c r="C31" s="17" t="s">
        <v>13</v>
      </c>
      <c r="D31" s="17">
        <v>4</v>
      </c>
      <c r="E31" s="218">
        <f>'[2]Apu''s obra civil (2)'!G351</f>
        <v>516236</v>
      </c>
      <c r="F31" s="218">
        <f t="shared" si="1"/>
        <v>2064944</v>
      </c>
    </row>
    <row r="32" spans="1:6" ht="22.5" x14ac:dyDescent="0.25">
      <c r="A32" s="17" t="s">
        <v>332</v>
      </c>
      <c r="B32" s="216" t="s">
        <v>333</v>
      </c>
      <c r="C32" s="17" t="s">
        <v>13</v>
      </c>
      <c r="D32" s="17">
        <v>8</v>
      </c>
      <c r="E32" s="218">
        <f>'[2]Apu''s obra civil (2)'!G406</f>
        <v>353201</v>
      </c>
      <c r="F32" s="218">
        <f t="shared" si="1"/>
        <v>2825608</v>
      </c>
    </row>
    <row r="33" spans="1:9" ht="14.1" customHeight="1" x14ac:dyDescent="0.25">
      <c r="A33" s="17" t="s">
        <v>334</v>
      </c>
      <c r="B33" s="216" t="s">
        <v>335</v>
      </c>
      <c r="C33" s="17" t="s">
        <v>13</v>
      </c>
      <c r="D33" s="17">
        <v>4</v>
      </c>
      <c r="E33" s="218">
        <f>'[2]Apu''s obra civil (2)'!G465</f>
        <v>440972</v>
      </c>
      <c r="F33" s="218">
        <f t="shared" si="1"/>
        <v>1763888</v>
      </c>
    </row>
    <row r="34" spans="1:9" ht="12.75" customHeight="1" x14ac:dyDescent="0.25">
      <c r="A34" s="261" t="s">
        <v>353</v>
      </c>
      <c r="B34" s="261" t="s">
        <v>337</v>
      </c>
      <c r="C34" s="261" t="s">
        <v>347</v>
      </c>
      <c r="D34" s="261" t="s">
        <v>348</v>
      </c>
      <c r="E34" s="261" t="s">
        <v>349</v>
      </c>
      <c r="F34" s="261" t="s">
        <v>350</v>
      </c>
    </row>
    <row r="35" spans="1:9" ht="30.95" customHeight="1" x14ac:dyDescent="0.25">
      <c r="A35" s="17" t="s">
        <v>338</v>
      </c>
      <c r="B35" s="216" t="s">
        <v>339</v>
      </c>
      <c r="C35" s="268" t="s">
        <v>354</v>
      </c>
      <c r="D35" s="17">
        <v>20</v>
      </c>
      <c r="E35" s="218">
        <v>40453.918802717002</v>
      </c>
      <c r="F35" s="218">
        <f>E35*D35</f>
        <v>809078.37605434004</v>
      </c>
    </row>
    <row r="36" spans="1:9" ht="21.95" customHeight="1" x14ac:dyDescent="0.25">
      <c r="A36" s="17" t="s">
        <v>341</v>
      </c>
      <c r="B36" s="216" t="s">
        <v>342</v>
      </c>
      <c r="C36" s="17" t="s">
        <v>13</v>
      </c>
      <c r="D36" s="17">
        <v>8</v>
      </c>
      <c r="E36" s="218">
        <v>268941</v>
      </c>
      <c r="F36" s="218">
        <f>E36*D36</f>
        <v>2151528</v>
      </c>
      <c r="I36" s="5">
        <v>401343774</v>
      </c>
    </row>
    <row r="37" spans="1:9" ht="21" customHeight="1" x14ac:dyDescent="0.25">
      <c r="A37" s="17" t="s">
        <v>343</v>
      </c>
      <c r="B37" s="216" t="s">
        <v>344</v>
      </c>
      <c r="C37" s="17" t="s">
        <v>355</v>
      </c>
      <c r="D37" s="17">
        <v>120</v>
      </c>
      <c r="E37" s="218">
        <v>2525</v>
      </c>
      <c r="F37" s="218">
        <f>E37*D37</f>
        <v>303000</v>
      </c>
      <c r="I37" s="5">
        <v>140470321</v>
      </c>
    </row>
    <row r="38" spans="1:9" ht="16.5" customHeight="1" x14ac:dyDescent="0.25">
      <c r="A38" s="797" t="s">
        <v>257</v>
      </c>
      <c r="B38" s="797"/>
      <c r="C38" s="797"/>
      <c r="D38" s="797"/>
      <c r="E38" s="801">
        <f>ROUND(SUM(F4:F37),0)</f>
        <v>401343774</v>
      </c>
      <c r="F38" s="801"/>
      <c r="I38" s="5">
        <v>541814095</v>
      </c>
    </row>
    <row r="39" spans="1:9" ht="16.5" customHeight="1" x14ac:dyDescent="0.25">
      <c r="A39" s="797" t="s">
        <v>617</v>
      </c>
      <c r="B39" s="797"/>
      <c r="C39" s="797"/>
      <c r="D39" s="797"/>
      <c r="E39" s="802">
        <f>ROUND((E38*0.35),0)</f>
        <v>140470321</v>
      </c>
      <c r="F39" s="802"/>
    </row>
    <row r="40" spans="1:9" ht="16.5" customHeight="1" x14ac:dyDescent="0.25">
      <c r="A40" s="797" t="s">
        <v>346</v>
      </c>
      <c r="B40" s="797"/>
      <c r="C40" s="797"/>
      <c r="D40" s="798"/>
      <c r="E40" s="557">
        <f>E38+E39</f>
        <v>541814095</v>
      </c>
      <c r="F40" s="558"/>
    </row>
    <row r="41" spans="1:9" ht="16.5" customHeight="1" x14ac:dyDescent="0.25">
      <c r="A41" s="269"/>
      <c r="B41" s="269"/>
      <c r="C41" s="269"/>
      <c r="D41" s="269"/>
      <c r="E41" s="269"/>
      <c r="F41" s="269"/>
    </row>
    <row r="42" spans="1:9" ht="32.25" customHeight="1" x14ac:dyDescent="0.25">
      <c r="A42" s="269"/>
      <c r="B42" s="270"/>
      <c r="C42" s="269"/>
      <c r="D42" s="269"/>
      <c r="E42" s="269"/>
      <c r="F42" s="269"/>
    </row>
    <row r="43" spans="1:9" ht="12" customHeight="1" x14ac:dyDescent="0.25">
      <c r="A43" s="269"/>
      <c r="B43" s="211"/>
      <c r="C43" s="722" t="s">
        <v>618</v>
      </c>
      <c r="D43" s="212"/>
      <c r="E43" s="269"/>
      <c r="F43" s="269"/>
    </row>
    <row r="44" spans="1:9" ht="12.75" customHeight="1" x14ac:dyDescent="0.25">
      <c r="A44" s="269"/>
      <c r="B44" s="211"/>
      <c r="C44" s="213" t="s">
        <v>619</v>
      </c>
      <c r="D44" s="211"/>
      <c r="E44" s="269"/>
      <c r="F44" s="269"/>
    </row>
    <row r="45" spans="1:9" ht="12.75" customHeight="1" x14ac:dyDescent="0.25">
      <c r="A45" s="269"/>
      <c r="B45" s="270"/>
      <c r="C45" s="269"/>
      <c r="D45" s="269"/>
      <c r="E45" s="269"/>
      <c r="F45" s="269"/>
    </row>
    <row r="46" spans="1:9" ht="12.75" customHeight="1" x14ac:dyDescent="0.25">
      <c r="A46" s="269"/>
      <c r="B46" s="270"/>
      <c r="C46" s="269"/>
      <c r="D46" s="269"/>
      <c r="E46" s="269"/>
      <c r="F46" s="269"/>
    </row>
    <row r="47" spans="1:9" ht="12.75" customHeight="1" x14ac:dyDescent="0.25">
      <c r="A47" s="269"/>
      <c r="B47" s="270"/>
      <c r="C47" s="269"/>
      <c r="D47" s="269"/>
      <c r="E47" s="269"/>
      <c r="F47" s="269"/>
    </row>
    <row r="48" spans="1:9" ht="12.75" customHeight="1" x14ac:dyDescent="0.25">
      <c r="A48" s="269"/>
      <c r="B48" s="269"/>
      <c r="C48" s="269"/>
      <c r="D48" s="269"/>
      <c r="E48" s="269"/>
      <c r="F48" s="269"/>
    </row>
    <row r="49" spans="1:6" ht="8.25" customHeight="1" x14ac:dyDescent="0.25">
      <c r="A49" s="269"/>
      <c r="B49" s="269"/>
      <c r="C49" s="269"/>
      <c r="D49" s="269"/>
      <c r="E49" s="269"/>
      <c r="F49" s="269"/>
    </row>
    <row r="50" spans="1:6" x14ac:dyDescent="0.25">
      <c r="A50" s="269"/>
      <c r="B50" s="269"/>
      <c r="C50" s="269"/>
      <c r="D50" s="269"/>
      <c r="E50" s="269"/>
      <c r="F50" s="269"/>
    </row>
    <row r="51" spans="1:6" x14ac:dyDescent="0.25">
      <c r="A51" s="269"/>
      <c r="B51" s="269"/>
      <c r="C51" s="269"/>
      <c r="D51" s="269"/>
      <c r="E51" s="269"/>
      <c r="F51" s="269"/>
    </row>
    <row r="52" spans="1:6" x14ac:dyDescent="0.25">
      <c r="A52" s="269"/>
      <c r="B52" s="269"/>
      <c r="C52" s="269"/>
      <c r="D52" s="269"/>
      <c r="E52" s="269"/>
      <c r="F52" s="269"/>
    </row>
    <row r="53" spans="1:6" x14ac:dyDescent="0.25">
      <c r="A53" s="269"/>
      <c r="B53" s="269"/>
      <c r="C53" s="269"/>
      <c r="D53" s="269"/>
      <c r="E53" s="269"/>
      <c r="F53" s="269"/>
    </row>
  </sheetData>
  <mergeCells count="7">
    <mergeCell ref="A40:D40"/>
    <mergeCell ref="A1:F1"/>
    <mergeCell ref="A2:F2"/>
    <mergeCell ref="A38:D38"/>
    <mergeCell ref="E38:F38"/>
    <mergeCell ref="A39:D39"/>
    <mergeCell ref="E39:F39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B1:P33"/>
  <sheetViews>
    <sheetView topLeftCell="A16" workbookViewId="0">
      <selection activeCell="H32" sqref="H32:H33"/>
    </sheetView>
  </sheetViews>
  <sheetFormatPr baseColWidth="10" defaultRowHeight="15" x14ac:dyDescent="0.25"/>
  <cols>
    <col min="1" max="1" width="11.42578125" style="5"/>
    <col min="2" max="2" width="5.85546875" style="5" customWidth="1"/>
    <col min="3" max="3" width="38.85546875" style="5" customWidth="1"/>
    <col min="4" max="4" width="7.42578125" style="5" customWidth="1"/>
    <col min="5" max="5" width="8.140625" style="5" customWidth="1"/>
    <col min="6" max="6" width="11" style="5" customWidth="1"/>
    <col min="7" max="7" width="11" style="5" hidden="1" customWidth="1"/>
    <col min="8" max="9" width="11.28515625" style="5" customWidth="1"/>
    <col min="10" max="10" width="11.28515625" style="5" hidden="1" customWidth="1"/>
    <col min="11" max="13" width="10.85546875" style="5" customWidth="1"/>
    <col min="14" max="14" width="11.85546875" style="5" customWidth="1"/>
    <col min="15" max="15" width="11.140625" style="5" customWidth="1"/>
    <col min="16" max="16" width="11.7109375" style="5" customWidth="1"/>
    <col min="17" max="16384" width="11.42578125" style="5"/>
  </cols>
  <sheetData>
    <row r="1" spans="2:16" ht="33.75" customHeight="1" x14ac:dyDescent="0.25">
      <c r="B1" s="803" t="s">
        <v>607</v>
      </c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5"/>
    </row>
    <row r="2" spans="2:16" ht="28.5" customHeight="1" x14ac:dyDescent="0.25">
      <c r="B2" s="812" t="s">
        <v>609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4"/>
    </row>
    <row r="3" spans="2:16" ht="15.75" x14ac:dyDescent="0.25">
      <c r="B3" s="815" t="s">
        <v>157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7"/>
    </row>
    <row r="4" spans="2:16" ht="25.5" customHeight="1" x14ac:dyDescent="0.25">
      <c r="B4" s="818" t="s">
        <v>5</v>
      </c>
      <c r="C4" s="820" t="s">
        <v>9</v>
      </c>
      <c r="D4" s="821"/>
      <c r="E4" s="822"/>
      <c r="F4" s="823" t="s">
        <v>356</v>
      </c>
      <c r="G4" s="824"/>
      <c r="H4" s="825"/>
      <c r="I4" s="823" t="s">
        <v>357</v>
      </c>
      <c r="J4" s="824"/>
      <c r="K4" s="825"/>
      <c r="L4" s="823" t="s">
        <v>358</v>
      </c>
      <c r="M4" s="824"/>
      <c r="N4" s="825"/>
      <c r="O4" s="826" t="s">
        <v>14</v>
      </c>
      <c r="P4" s="826" t="s">
        <v>48</v>
      </c>
    </row>
    <row r="5" spans="2:16" ht="20.25" customHeight="1" x14ac:dyDescent="0.25">
      <c r="B5" s="819"/>
      <c r="C5" s="14" t="s">
        <v>166</v>
      </c>
      <c r="D5" s="14" t="s">
        <v>47</v>
      </c>
      <c r="E5" s="15" t="s">
        <v>0</v>
      </c>
      <c r="F5" s="231" t="s">
        <v>1</v>
      </c>
      <c r="G5" s="231"/>
      <c r="H5" s="231" t="s">
        <v>15</v>
      </c>
      <c r="I5" s="231" t="s">
        <v>1</v>
      </c>
      <c r="J5" s="231"/>
      <c r="K5" s="231" t="s">
        <v>15</v>
      </c>
      <c r="L5" s="231" t="s">
        <v>1</v>
      </c>
      <c r="M5" s="231"/>
      <c r="N5" s="231" t="s">
        <v>15</v>
      </c>
      <c r="O5" s="826"/>
      <c r="P5" s="826"/>
    </row>
    <row r="6" spans="2:16" ht="22.5" x14ac:dyDescent="0.25">
      <c r="B6" s="13">
        <v>1</v>
      </c>
      <c r="C6" s="271" t="s">
        <v>360</v>
      </c>
      <c r="D6" s="272" t="s">
        <v>13</v>
      </c>
      <c r="E6" s="272">
        <v>500</v>
      </c>
      <c r="F6" s="12">
        <f>G6*1.08</f>
        <v>29160.000000000004</v>
      </c>
      <c r="G6" s="12">
        <v>27000</v>
      </c>
      <c r="H6" s="16">
        <f>E6*F6</f>
        <v>14580000.000000002</v>
      </c>
      <c r="I6" s="16">
        <f>J6*1.08</f>
        <v>32076.000000000004</v>
      </c>
      <c r="J6" s="16">
        <v>29700</v>
      </c>
      <c r="K6" s="16">
        <f>E6*I6</f>
        <v>16038000.000000002</v>
      </c>
      <c r="L6" s="16">
        <f>M6*1.08</f>
        <v>32950.800000000003</v>
      </c>
      <c r="M6" s="16">
        <v>30510</v>
      </c>
      <c r="N6" s="16">
        <f>E6*L6</f>
        <v>16475400.000000002</v>
      </c>
      <c r="O6" s="18">
        <f>(F6+I6+L6)/3</f>
        <v>31395.600000000006</v>
      </c>
      <c r="P6" s="11">
        <f t="shared" ref="P6:P20" si="0">E6*O6</f>
        <v>15697800.000000004</v>
      </c>
    </row>
    <row r="7" spans="2:16" ht="22.5" x14ac:dyDescent="0.25">
      <c r="B7" s="13">
        <v>2</v>
      </c>
      <c r="C7" s="271" t="s">
        <v>361</v>
      </c>
      <c r="D7" s="272" t="s">
        <v>13</v>
      </c>
      <c r="E7" s="272">
        <v>500</v>
      </c>
      <c r="F7" s="12">
        <f t="shared" ref="F7:F22" si="1">G7*1.08</f>
        <v>15390.000000000002</v>
      </c>
      <c r="G7" s="12">
        <v>14250</v>
      </c>
      <c r="H7" s="16">
        <f t="shared" ref="H7:H22" si="2">E7*F7</f>
        <v>7695000.0000000009</v>
      </c>
      <c r="I7" s="16">
        <f t="shared" ref="I7:I22" si="3">J7*1.08</f>
        <v>16929</v>
      </c>
      <c r="J7" s="16">
        <v>15675</v>
      </c>
      <c r="K7" s="16">
        <f t="shared" ref="K7:K21" si="4">E7*I7</f>
        <v>8464500</v>
      </c>
      <c r="L7" s="16">
        <f t="shared" ref="L7:L22" si="5">M7*1.08</f>
        <v>17391.240000000002</v>
      </c>
      <c r="M7" s="16">
        <v>16103</v>
      </c>
      <c r="N7" s="16">
        <f t="shared" ref="N7:N22" si="6">E7*L7</f>
        <v>8695620</v>
      </c>
      <c r="O7" s="18">
        <f t="shared" ref="O7:O22" si="7">(F7+I7+L7)/3</f>
        <v>16570.080000000002</v>
      </c>
      <c r="P7" s="11">
        <f t="shared" si="0"/>
        <v>8285040.0000000009</v>
      </c>
    </row>
    <row r="8" spans="2:16" ht="33.75" x14ac:dyDescent="0.25">
      <c r="B8" s="13">
        <v>3</v>
      </c>
      <c r="C8" s="271" t="s">
        <v>362</v>
      </c>
      <c r="D8" s="272" t="s">
        <v>13</v>
      </c>
      <c r="E8" s="272">
        <v>10</v>
      </c>
      <c r="F8" s="12">
        <f t="shared" si="1"/>
        <v>129600.00000000001</v>
      </c>
      <c r="G8" s="12">
        <v>120000</v>
      </c>
      <c r="H8" s="16">
        <f t="shared" si="2"/>
        <v>1296000.0000000002</v>
      </c>
      <c r="I8" s="16">
        <f t="shared" si="3"/>
        <v>142560</v>
      </c>
      <c r="J8" s="16">
        <v>132000</v>
      </c>
      <c r="K8" s="16">
        <f t="shared" si="4"/>
        <v>1425600</v>
      </c>
      <c r="L8" s="16">
        <f t="shared" si="5"/>
        <v>146448</v>
      </c>
      <c r="M8" s="16">
        <v>135600</v>
      </c>
      <c r="N8" s="16">
        <f t="shared" si="6"/>
        <v>1464480</v>
      </c>
      <c r="O8" s="18">
        <f t="shared" si="7"/>
        <v>139536</v>
      </c>
      <c r="P8" s="11">
        <f t="shared" si="0"/>
        <v>1395360</v>
      </c>
    </row>
    <row r="9" spans="2:16" x14ac:dyDescent="0.25">
      <c r="B9" s="13">
        <v>4</v>
      </c>
      <c r="C9" s="271" t="s">
        <v>363</v>
      </c>
      <c r="D9" s="272" t="s">
        <v>13</v>
      </c>
      <c r="E9" s="272">
        <v>6</v>
      </c>
      <c r="F9" s="12">
        <f t="shared" si="1"/>
        <v>40500</v>
      </c>
      <c r="G9" s="12">
        <v>37500</v>
      </c>
      <c r="H9" s="16">
        <f t="shared" si="2"/>
        <v>243000</v>
      </c>
      <c r="I9" s="16">
        <f t="shared" si="3"/>
        <v>44550</v>
      </c>
      <c r="J9" s="16">
        <v>41250</v>
      </c>
      <c r="K9" s="16">
        <f t="shared" si="4"/>
        <v>267300</v>
      </c>
      <c r="L9" s="16">
        <f t="shared" si="5"/>
        <v>45765</v>
      </c>
      <c r="M9" s="16">
        <v>42375</v>
      </c>
      <c r="N9" s="16">
        <f t="shared" si="6"/>
        <v>274590</v>
      </c>
      <c r="O9" s="18">
        <f t="shared" si="7"/>
        <v>43605</v>
      </c>
      <c r="P9" s="11">
        <f t="shared" si="0"/>
        <v>261630</v>
      </c>
    </row>
    <row r="10" spans="2:16" x14ac:dyDescent="0.25">
      <c r="B10" s="13">
        <v>5</v>
      </c>
      <c r="C10" s="271" t="s">
        <v>364</v>
      </c>
      <c r="D10" s="272" t="s">
        <v>13</v>
      </c>
      <c r="E10" s="272">
        <v>10</v>
      </c>
      <c r="F10" s="12">
        <f t="shared" si="1"/>
        <v>58320.000000000007</v>
      </c>
      <c r="G10" s="12">
        <v>54000</v>
      </c>
      <c r="H10" s="16">
        <f t="shared" si="2"/>
        <v>583200.00000000012</v>
      </c>
      <c r="I10" s="16">
        <f t="shared" si="3"/>
        <v>64152.000000000007</v>
      </c>
      <c r="J10" s="16">
        <v>59400</v>
      </c>
      <c r="K10" s="16">
        <f t="shared" si="4"/>
        <v>641520.00000000012</v>
      </c>
      <c r="L10" s="16">
        <f t="shared" si="5"/>
        <v>65901.600000000006</v>
      </c>
      <c r="M10" s="16">
        <v>61020</v>
      </c>
      <c r="N10" s="16">
        <f t="shared" si="6"/>
        <v>659016</v>
      </c>
      <c r="O10" s="18">
        <f t="shared" si="7"/>
        <v>62791.200000000012</v>
      </c>
      <c r="P10" s="11">
        <f t="shared" si="0"/>
        <v>627912.00000000012</v>
      </c>
    </row>
    <row r="11" spans="2:16" ht="22.5" x14ac:dyDescent="0.25">
      <c r="B11" s="13">
        <v>6</v>
      </c>
      <c r="C11" s="271" t="s">
        <v>365</v>
      </c>
      <c r="D11" s="272" t="s">
        <v>13</v>
      </c>
      <c r="E11" s="272">
        <v>30</v>
      </c>
      <c r="F11" s="12">
        <f t="shared" si="1"/>
        <v>97200</v>
      </c>
      <c r="G11" s="12">
        <v>90000</v>
      </c>
      <c r="H11" s="16">
        <f t="shared" si="2"/>
        <v>2916000</v>
      </c>
      <c r="I11" s="16">
        <f t="shared" si="3"/>
        <v>106920</v>
      </c>
      <c r="J11" s="16">
        <v>99000</v>
      </c>
      <c r="K11" s="16">
        <f t="shared" si="4"/>
        <v>3207600</v>
      </c>
      <c r="L11" s="16">
        <f t="shared" si="5"/>
        <v>109836</v>
      </c>
      <c r="M11" s="16">
        <v>101700</v>
      </c>
      <c r="N11" s="16">
        <f t="shared" si="6"/>
        <v>3295080</v>
      </c>
      <c r="O11" s="18">
        <f t="shared" si="7"/>
        <v>104652</v>
      </c>
      <c r="P11" s="11">
        <f t="shared" si="0"/>
        <v>3139560</v>
      </c>
    </row>
    <row r="12" spans="2:16" x14ac:dyDescent="0.25">
      <c r="B12" s="13">
        <v>7</v>
      </c>
      <c r="C12" s="271" t="s">
        <v>366</v>
      </c>
      <c r="D12" s="272" t="s">
        <v>13</v>
      </c>
      <c r="E12" s="272">
        <v>5</v>
      </c>
      <c r="F12" s="12">
        <f t="shared" si="1"/>
        <v>56700.000000000007</v>
      </c>
      <c r="G12" s="12">
        <v>52500</v>
      </c>
      <c r="H12" s="16">
        <f t="shared" si="2"/>
        <v>283500.00000000006</v>
      </c>
      <c r="I12" s="16">
        <f t="shared" si="3"/>
        <v>62370.000000000007</v>
      </c>
      <c r="J12" s="16">
        <v>57750</v>
      </c>
      <c r="K12" s="16">
        <f t="shared" si="4"/>
        <v>311850.00000000006</v>
      </c>
      <c r="L12" s="16">
        <f t="shared" si="5"/>
        <v>64071.000000000007</v>
      </c>
      <c r="M12" s="16">
        <v>59325</v>
      </c>
      <c r="N12" s="16">
        <f t="shared" si="6"/>
        <v>320355.00000000006</v>
      </c>
      <c r="O12" s="18">
        <f t="shared" si="7"/>
        <v>61047.000000000007</v>
      </c>
      <c r="P12" s="11">
        <f t="shared" si="0"/>
        <v>305235.00000000006</v>
      </c>
    </row>
    <row r="13" spans="2:16" x14ac:dyDescent="0.25">
      <c r="B13" s="13">
        <v>8</v>
      </c>
      <c r="C13" s="271" t="s">
        <v>367</v>
      </c>
      <c r="D13" s="272" t="s">
        <v>13</v>
      </c>
      <c r="E13" s="272">
        <v>50</v>
      </c>
      <c r="F13" s="12">
        <f t="shared" si="1"/>
        <v>35640</v>
      </c>
      <c r="G13" s="12">
        <v>33000</v>
      </c>
      <c r="H13" s="16">
        <f t="shared" si="2"/>
        <v>1782000</v>
      </c>
      <c r="I13" s="16">
        <f t="shared" si="3"/>
        <v>39204</v>
      </c>
      <c r="J13" s="16">
        <v>36300</v>
      </c>
      <c r="K13" s="16">
        <f t="shared" si="4"/>
        <v>1960200</v>
      </c>
      <c r="L13" s="16">
        <f t="shared" si="5"/>
        <v>40273.200000000004</v>
      </c>
      <c r="M13" s="16">
        <v>37290</v>
      </c>
      <c r="N13" s="16">
        <f t="shared" si="6"/>
        <v>2013660.0000000002</v>
      </c>
      <c r="O13" s="18">
        <f t="shared" si="7"/>
        <v>38372.400000000001</v>
      </c>
      <c r="P13" s="11">
        <f t="shared" si="0"/>
        <v>1918620</v>
      </c>
    </row>
    <row r="14" spans="2:16" x14ac:dyDescent="0.25">
      <c r="B14" s="13">
        <v>9</v>
      </c>
      <c r="C14" s="271" t="s">
        <v>368</v>
      </c>
      <c r="D14" s="272" t="s">
        <v>13</v>
      </c>
      <c r="E14" s="272">
        <v>50</v>
      </c>
      <c r="F14" s="12">
        <f t="shared" si="1"/>
        <v>32400.000000000004</v>
      </c>
      <c r="G14" s="12">
        <v>30000</v>
      </c>
      <c r="H14" s="16">
        <f t="shared" si="2"/>
        <v>1620000.0000000002</v>
      </c>
      <c r="I14" s="16">
        <f t="shared" si="3"/>
        <v>35640</v>
      </c>
      <c r="J14" s="16">
        <v>33000</v>
      </c>
      <c r="K14" s="16">
        <f t="shared" si="4"/>
        <v>1782000</v>
      </c>
      <c r="L14" s="16">
        <f t="shared" si="5"/>
        <v>36612</v>
      </c>
      <c r="M14" s="16">
        <v>33900</v>
      </c>
      <c r="N14" s="16">
        <f t="shared" si="6"/>
        <v>1830600</v>
      </c>
      <c r="O14" s="18">
        <f t="shared" si="7"/>
        <v>34884</v>
      </c>
      <c r="P14" s="11">
        <f t="shared" si="0"/>
        <v>1744200</v>
      </c>
    </row>
    <row r="15" spans="2:16" x14ac:dyDescent="0.25">
      <c r="B15" s="13">
        <v>10</v>
      </c>
      <c r="C15" s="271" t="s">
        <v>369</v>
      </c>
      <c r="D15" s="272" t="s">
        <v>13</v>
      </c>
      <c r="E15" s="276">
        <v>15</v>
      </c>
      <c r="F15" s="12">
        <f t="shared" si="1"/>
        <v>631800</v>
      </c>
      <c r="G15" s="205">
        <v>585000</v>
      </c>
      <c r="H15" s="16">
        <f t="shared" si="2"/>
        <v>9477000</v>
      </c>
      <c r="I15" s="16">
        <f t="shared" si="3"/>
        <v>694980</v>
      </c>
      <c r="J15" s="26">
        <v>643500</v>
      </c>
      <c r="K15" s="16">
        <f t="shared" si="4"/>
        <v>10424700</v>
      </c>
      <c r="L15" s="16">
        <f t="shared" si="5"/>
        <v>713934</v>
      </c>
      <c r="M15" s="16">
        <v>661050</v>
      </c>
      <c r="N15" s="16">
        <f t="shared" si="6"/>
        <v>10709010</v>
      </c>
      <c r="O15" s="18">
        <f t="shared" si="7"/>
        <v>680238</v>
      </c>
      <c r="P15" s="11">
        <f t="shared" si="0"/>
        <v>10203570</v>
      </c>
    </row>
    <row r="16" spans="2:16" x14ac:dyDescent="0.25">
      <c r="B16" s="13">
        <v>11</v>
      </c>
      <c r="C16" s="271" t="s">
        <v>370</v>
      </c>
      <c r="D16" s="272" t="s">
        <v>13</v>
      </c>
      <c r="E16" s="272">
        <v>2</v>
      </c>
      <c r="F16" s="12">
        <f t="shared" si="1"/>
        <v>680400</v>
      </c>
      <c r="G16" s="12">
        <v>630000</v>
      </c>
      <c r="H16" s="16">
        <f t="shared" si="2"/>
        <v>1360800</v>
      </c>
      <c r="I16" s="16">
        <f t="shared" si="3"/>
        <v>748440</v>
      </c>
      <c r="J16" s="16">
        <v>693000</v>
      </c>
      <c r="K16" s="16">
        <f t="shared" si="4"/>
        <v>1496880</v>
      </c>
      <c r="L16" s="16">
        <f t="shared" si="5"/>
        <v>833652</v>
      </c>
      <c r="M16" s="16">
        <v>771900</v>
      </c>
      <c r="N16" s="16">
        <f>E16*L16</f>
        <v>1667304</v>
      </c>
      <c r="O16" s="18">
        <f t="shared" si="7"/>
        <v>754164</v>
      </c>
      <c r="P16" s="11">
        <f t="shared" si="0"/>
        <v>1508328</v>
      </c>
    </row>
    <row r="17" spans="2:16" x14ac:dyDescent="0.25">
      <c r="B17" s="13">
        <v>12</v>
      </c>
      <c r="C17" s="271" t="s">
        <v>371</v>
      </c>
      <c r="D17" s="272" t="s">
        <v>13</v>
      </c>
      <c r="E17" s="272">
        <v>10</v>
      </c>
      <c r="F17" s="12">
        <f t="shared" si="1"/>
        <v>113400.00000000001</v>
      </c>
      <c r="G17" s="12">
        <v>105000</v>
      </c>
      <c r="H17" s="16">
        <f t="shared" si="2"/>
        <v>1134000.0000000002</v>
      </c>
      <c r="I17" s="16">
        <f t="shared" si="3"/>
        <v>124740.00000000001</v>
      </c>
      <c r="J17" s="16">
        <v>115500</v>
      </c>
      <c r="K17" s="16">
        <f t="shared" si="4"/>
        <v>1247400.0000000002</v>
      </c>
      <c r="L17" s="16">
        <f t="shared" si="5"/>
        <v>128142.00000000001</v>
      </c>
      <c r="M17" s="26">
        <v>118650</v>
      </c>
      <c r="N17" s="16">
        <f t="shared" si="6"/>
        <v>1281420.0000000002</v>
      </c>
      <c r="O17" s="18">
        <f t="shared" si="7"/>
        <v>122094.00000000001</v>
      </c>
      <c r="P17" s="11">
        <f t="shared" si="0"/>
        <v>1220940.0000000002</v>
      </c>
    </row>
    <row r="18" spans="2:16" x14ac:dyDescent="0.25">
      <c r="B18" s="13">
        <v>13</v>
      </c>
      <c r="C18" s="271" t="s">
        <v>372</v>
      </c>
      <c r="D18" s="10" t="s">
        <v>352</v>
      </c>
      <c r="E18" s="272">
        <v>20</v>
      </c>
      <c r="F18" s="12">
        <f t="shared" si="1"/>
        <v>81000</v>
      </c>
      <c r="G18" s="12">
        <v>75000</v>
      </c>
      <c r="H18" s="16">
        <f t="shared" si="2"/>
        <v>1620000</v>
      </c>
      <c r="I18" s="16">
        <f t="shared" si="3"/>
        <v>89100</v>
      </c>
      <c r="J18" s="16">
        <v>82500</v>
      </c>
      <c r="K18" s="16">
        <f t="shared" si="4"/>
        <v>1782000</v>
      </c>
      <c r="L18" s="16">
        <f t="shared" si="5"/>
        <v>91530</v>
      </c>
      <c r="M18" s="16">
        <v>84750</v>
      </c>
      <c r="N18" s="16">
        <f t="shared" si="6"/>
        <v>1830600</v>
      </c>
      <c r="O18" s="18">
        <f t="shared" si="7"/>
        <v>87210</v>
      </c>
      <c r="P18" s="11">
        <f t="shared" si="0"/>
        <v>1744200</v>
      </c>
    </row>
    <row r="19" spans="2:16" x14ac:dyDescent="0.25">
      <c r="B19" s="13">
        <v>14</v>
      </c>
      <c r="C19" s="271" t="s">
        <v>373</v>
      </c>
      <c r="D19" s="10" t="s">
        <v>374</v>
      </c>
      <c r="E19" s="272">
        <v>4</v>
      </c>
      <c r="F19" s="12">
        <f t="shared" si="1"/>
        <v>149040</v>
      </c>
      <c r="G19" s="12">
        <v>138000</v>
      </c>
      <c r="H19" s="16">
        <f t="shared" si="2"/>
        <v>596160</v>
      </c>
      <c r="I19" s="16">
        <f t="shared" si="3"/>
        <v>163944</v>
      </c>
      <c r="J19" s="16">
        <v>151800</v>
      </c>
      <c r="K19" s="16">
        <f t="shared" si="4"/>
        <v>655776</v>
      </c>
      <c r="L19" s="16">
        <f t="shared" si="5"/>
        <v>168415.2</v>
      </c>
      <c r="M19" s="16">
        <v>155940</v>
      </c>
      <c r="N19" s="16">
        <f t="shared" si="6"/>
        <v>673660.8</v>
      </c>
      <c r="O19" s="18">
        <f t="shared" si="7"/>
        <v>160466.4</v>
      </c>
      <c r="P19" s="11">
        <f t="shared" si="0"/>
        <v>641865.6</v>
      </c>
    </row>
    <row r="20" spans="2:16" ht="22.5" x14ac:dyDescent="0.25">
      <c r="B20" s="13">
        <v>15</v>
      </c>
      <c r="C20" s="271" t="s">
        <v>375</v>
      </c>
      <c r="D20" s="10" t="s">
        <v>13</v>
      </c>
      <c r="E20" s="272">
        <v>2</v>
      </c>
      <c r="F20" s="12">
        <f t="shared" si="1"/>
        <v>1296000</v>
      </c>
      <c r="G20" s="12">
        <v>1200000</v>
      </c>
      <c r="H20" s="16">
        <f t="shared" si="2"/>
        <v>2592000</v>
      </c>
      <c r="I20" s="16">
        <f t="shared" si="3"/>
        <v>1425600</v>
      </c>
      <c r="J20" s="16">
        <v>1320000</v>
      </c>
      <c r="K20" s="16">
        <f>E20*I20</f>
        <v>2851200</v>
      </c>
      <c r="L20" s="16">
        <f t="shared" si="5"/>
        <v>1464480</v>
      </c>
      <c r="M20" s="16">
        <v>1356000</v>
      </c>
      <c r="N20" s="16">
        <f t="shared" si="6"/>
        <v>2928960</v>
      </c>
      <c r="O20" s="18">
        <f t="shared" si="7"/>
        <v>1395360</v>
      </c>
      <c r="P20" s="11">
        <f t="shared" si="0"/>
        <v>2790720</v>
      </c>
    </row>
    <row r="21" spans="2:16" ht="22.5" x14ac:dyDescent="0.25">
      <c r="B21" s="13">
        <v>16</v>
      </c>
      <c r="C21" s="271" t="s">
        <v>376</v>
      </c>
      <c r="D21" s="10" t="s">
        <v>13</v>
      </c>
      <c r="E21" s="272">
        <v>2</v>
      </c>
      <c r="F21" s="12">
        <f t="shared" si="1"/>
        <v>1296000</v>
      </c>
      <c r="G21" s="12">
        <v>1200000</v>
      </c>
      <c r="H21" s="16">
        <f t="shared" si="2"/>
        <v>2592000</v>
      </c>
      <c r="I21" s="16">
        <f t="shared" si="3"/>
        <v>1425600</v>
      </c>
      <c r="J21" s="16">
        <v>1320000</v>
      </c>
      <c r="K21" s="16">
        <f t="shared" si="4"/>
        <v>2851200</v>
      </c>
      <c r="L21" s="16">
        <f t="shared" si="5"/>
        <v>1464480</v>
      </c>
      <c r="M21" s="16">
        <v>1356000</v>
      </c>
      <c r="N21" s="16">
        <f t="shared" si="6"/>
        <v>2928960</v>
      </c>
      <c r="O21" s="18">
        <f t="shared" si="7"/>
        <v>1395360</v>
      </c>
      <c r="P21" s="11">
        <f>E21*O21</f>
        <v>2790720</v>
      </c>
    </row>
    <row r="22" spans="2:16" ht="33.75" x14ac:dyDescent="0.25">
      <c r="B22" s="13">
        <v>17</v>
      </c>
      <c r="C22" s="271" t="s">
        <v>377</v>
      </c>
      <c r="D22" s="10" t="s">
        <v>13</v>
      </c>
      <c r="E22" s="272">
        <v>1</v>
      </c>
      <c r="F22" s="12">
        <f t="shared" si="1"/>
        <v>567000</v>
      </c>
      <c r="G22" s="12">
        <v>525000</v>
      </c>
      <c r="H22" s="16">
        <f t="shared" si="2"/>
        <v>567000</v>
      </c>
      <c r="I22" s="16">
        <f t="shared" si="3"/>
        <v>623700</v>
      </c>
      <c r="J22" s="12">
        <v>577500</v>
      </c>
      <c r="K22" s="16">
        <f>E22*I22</f>
        <v>623700</v>
      </c>
      <c r="L22" s="16">
        <f t="shared" si="5"/>
        <v>640710</v>
      </c>
      <c r="M22" s="12">
        <v>593250</v>
      </c>
      <c r="N22" s="16">
        <f t="shared" si="6"/>
        <v>640710</v>
      </c>
      <c r="O22" s="18">
        <f t="shared" si="7"/>
        <v>610470</v>
      </c>
      <c r="P22" s="11">
        <f>E22*O22</f>
        <v>610470</v>
      </c>
    </row>
    <row r="23" spans="2:16" ht="12" customHeight="1" x14ac:dyDescent="0.25">
      <c r="B23" s="806"/>
      <c r="C23" s="807"/>
      <c r="D23" s="807"/>
      <c r="E23" s="808"/>
      <c r="F23" s="206" t="s">
        <v>46</v>
      </c>
      <c r="G23" s="206"/>
      <c r="H23" s="207">
        <f>SUM(H6:H22)</f>
        <v>50937660</v>
      </c>
      <c r="I23" s="206" t="s">
        <v>46</v>
      </c>
      <c r="J23" s="206"/>
      <c r="K23" s="207">
        <f>SUM(K6:K22)</f>
        <v>56031426</v>
      </c>
      <c r="L23" s="206" t="s">
        <v>46</v>
      </c>
      <c r="M23" s="206"/>
      <c r="N23" s="207">
        <f>SUM(N6:N22)</f>
        <v>57689425.799999997</v>
      </c>
      <c r="O23" s="206" t="s">
        <v>46</v>
      </c>
      <c r="P23" s="208">
        <f>SUM(P6:P22)</f>
        <v>54886170.600000001</v>
      </c>
    </row>
    <row r="24" spans="2:16" ht="12" customHeight="1" x14ac:dyDescent="0.25">
      <c r="B24" s="273"/>
      <c r="C24" s="274"/>
      <c r="D24" s="274"/>
      <c r="E24" s="274"/>
      <c r="F24" s="206" t="s">
        <v>359</v>
      </c>
      <c r="G24" s="206"/>
      <c r="H24" s="207">
        <f>H23*16%</f>
        <v>8150025.6000000006</v>
      </c>
      <c r="I24" s="206" t="s">
        <v>359</v>
      </c>
      <c r="J24" s="206"/>
      <c r="K24" s="207">
        <f>K23*16%</f>
        <v>8965028.1600000001</v>
      </c>
      <c r="L24" s="206" t="s">
        <v>359</v>
      </c>
      <c r="M24" s="206"/>
      <c r="N24" s="207">
        <f>N23*16%</f>
        <v>9230308.1280000005</v>
      </c>
      <c r="O24" s="206" t="s">
        <v>359</v>
      </c>
      <c r="P24" s="275">
        <f>P23*16%</f>
        <v>8781787.2960000001</v>
      </c>
    </row>
    <row r="25" spans="2:16" ht="23.25" customHeight="1" x14ac:dyDescent="0.25">
      <c r="B25" s="273"/>
      <c r="C25" s="274"/>
      <c r="D25" s="274"/>
      <c r="E25" s="274"/>
      <c r="F25" s="206" t="s">
        <v>16</v>
      </c>
      <c r="G25" s="206"/>
      <c r="H25" s="207">
        <f>SUM(H23:H24)</f>
        <v>59087685.600000001</v>
      </c>
      <c r="I25" s="206" t="s">
        <v>16</v>
      </c>
      <c r="J25" s="206"/>
      <c r="K25" s="207">
        <f>SUM(K23:K24)</f>
        <v>64996454.159999996</v>
      </c>
      <c r="L25" s="206" t="s">
        <v>16</v>
      </c>
      <c r="M25" s="206"/>
      <c r="N25" s="207">
        <f>SUM(N23:N24)</f>
        <v>66919733.927999996</v>
      </c>
      <c r="O25" s="206" t="s">
        <v>16</v>
      </c>
      <c r="P25" s="275">
        <f>SUM(P23:P24)</f>
        <v>63667957.895999998</v>
      </c>
    </row>
    <row r="26" spans="2:16" x14ac:dyDescent="0.25">
      <c r="B26" s="809"/>
      <c r="C26" s="810"/>
      <c r="D26" s="810"/>
      <c r="E26" s="810"/>
      <c r="F26" s="810"/>
      <c r="G26" s="810"/>
      <c r="H26" s="810"/>
      <c r="I26" s="810"/>
      <c r="J26" s="810"/>
      <c r="K26" s="810"/>
      <c r="L26" s="810"/>
      <c r="M26" s="810"/>
      <c r="N26" s="810"/>
      <c r="O26" s="810"/>
      <c r="P26" s="811"/>
    </row>
    <row r="32" spans="2:16" x14ac:dyDescent="0.25">
      <c r="F32" s="211"/>
      <c r="G32" s="211"/>
      <c r="H32" s="723" t="s">
        <v>618</v>
      </c>
      <c r="I32" s="212"/>
      <c r="J32" s="212"/>
    </row>
    <row r="33" spans="6:10" x14ac:dyDescent="0.25">
      <c r="F33" s="211"/>
      <c r="G33" s="211"/>
      <c r="H33" s="724" t="s">
        <v>619</v>
      </c>
      <c r="I33" s="211"/>
      <c r="J33" s="211"/>
    </row>
  </sheetData>
  <mergeCells count="12">
    <mergeCell ref="B1:P1"/>
    <mergeCell ref="B23:E23"/>
    <mergeCell ref="B26:P26"/>
    <mergeCell ref="B2:P2"/>
    <mergeCell ref="B3:P3"/>
    <mergeCell ref="B4:B5"/>
    <mergeCell ref="C4:E4"/>
    <mergeCell ref="F4:H4"/>
    <mergeCell ref="I4:K4"/>
    <mergeCell ref="L4:N4"/>
    <mergeCell ref="O4:O5"/>
    <mergeCell ref="P4:P5"/>
  </mergeCells>
  <pageMargins left="0.7" right="0.7" top="0.75" bottom="0.75" header="0.3" footer="0.3"/>
  <pageSetup paperSize="5" scale="9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A1:I46"/>
  <sheetViews>
    <sheetView topLeftCell="A37" zoomScale="70" zoomScaleNormal="70" workbookViewId="0">
      <selection activeCell="C44" sqref="C44:C45"/>
    </sheetView>
  </sheetViews>
  <sheetFormatPr baseColWidth="10" defaultColWidth="11.42578125" defaultRowHeight="14.25" x14ac:dyDescent="0.25"/>
  <cols>
    <col min="1" max="1" width="11.5703125" style="625" bestFit="1" customWidth="1"/>
    <col min="2" max="2" width="63" style="578" customWidth="1"/>
    <col min="3" max="3" width="16.28515625" style="626" customWidth="1"/>
    <col min="4" max="4" width="14.5703125" style="578" customWidth="1"/>
    <col min="5" max="5" width="12.5703125" style="578" customWidth="1"/>
    <col min="6" max="6" width="20" style="627" customWidth="1"/>
    <col min="7" max="7" width="18.5703125" style="629" customWidth="1"/>
    <col min="8" max="8" width="11.42578125" style="578"/>
    <col min="9" max="9" width="28.85546875" style="578" bestFit="1" customWidth="1"/>
    <col min="10" max="16384" width="11.42578125" style="578"/>
  </cols>
  <sheetData>
    <row r="1" spans="1:9" s="576" customFormat="1" ht="35.25" customHeight="1" x14ac:dyDescent="0.25">
      <c r="A1" s="827" t="s">
        <v>612</v>
      </c>
      <c r="B1" s="827"/>
      <c r="C1" s="827"/>
      <c r="D1" s="827"/>
      <c r="E1" s="827"/>
      <c r="F1" s="827"/>
      <c r="G1" s="827"/>
    </row>
    <row r="2" spans="1:9" ht="22.5" customHeight="1" x14ac:dyDescent="0.25">
      <c r="A2" s="828" t="s">
        <v>566</v>
      </c>
      <c r="B2" s="829"/>
      <c r="C2" s="829"/>
      <c r="D2" s="829"/>
      <c r="E2" s="829"/>
      <c r="F2" s="829"/>
      <c r="G2" s="830"/>
    </row>
    <row r="3" spans="1:9" s="577" customFormat="1" ht="30" x14ac:dyDescent="0.25">
      <c r="A3" s="677" t="s">
        <v>5</v>
      </c>
      <c r="B3" s="678" t="s">
        <v>8</v>
      </c>
      <c r="C3" s="678" t="s">
        <v>7</v>
      </c>
      <c r="D3" s="678" t="s">
        <v>561</v>
      </c>
      <c r="E3" s="678" t="s">
        <v>562</v>
      </c>
      <c r="F3" s="679" t="s">
        <v>563</v>
      </c>
      <c r="G3" s="680" t="s">
        <v>565</v>
      </c>
    </row>
    <row r="4" spans="1:9" ht="22.5" customHeight="1" x14ac:dyDescent="0.25">
      <c r="A4" s="681">
        <v>1</v>
      </c>
      <c r="B4" s="579" t="s">
        <v>567</v>
      </c>
      <c r="C4" s="580"/>
      <c r="D4" s="581"/>
      <c r="E4" s="581"/>
      <c r="F4" s="582"/>
      <c r="G4" s="682"/>
    </row>
    <row r="5" spans="1:9" ht="15" x14ac:dyDescent="0.25">
      <c r="A5" s="683">
        <v>1.1000000000000001</v>
      </c>
      <c r="B5" s="584" t="s">
        <v>613</v>
      </c>
      <c r="C5" s="585"/>
      <c r="D5" s="586"/>
      <c r="E5" s="587"/>
      <c r="F5" s="588"/>
      <c r="G5" s="684"/>
      <c r="I5" s="590"/>
    </row>
    <row r="6" spans="1:9" ht="15" x14ac:dyDescent="0.25">
      <c r="A6" s="683">
        <v>1.2000000000000002</v>
      </c>
      <c r="B6" s="584" t="s">
        <v>614</v>
      </c>
      <c r="C6" s="585"/>
      <c r="D6" s="586"/>
      <c r="E6" s="587"/>
      <c r="F6" s="588"/>
      <c r="G6" s="684"/>
    </row>
    <row r="7" spans="1:9" ht="15" x14ac:dyDescent="0.25">
      <c r="A7" s="683">
        <v>1.3000000000000003</v>
      </c>
      <c r="B7" s="584" t="s">
        <v>589</v>
      </c>
      <c r="C7" s="585"/>
      <c r="D7" s="586"/>
      <c r="E7" s="587"/>
      <c r="F7" s="588"/>
      <c r="G7" s="684"/>
    </row>
    <row r="8" spans="1:9" ht="15" x14ac:dyDescent="0.25">
      <c r="A8" s="683">
        <v>1.4</v>
      </c>
      <c r="B8" s="584" t="s">
        <v>615</v>
      </c>
      <c r="C8" s="585"/>
      <c r="D8" s="586"/>
      <c r="E8" s="587"/>
      <c r="F8" s="588"/>
      <c r="G8" s="684"/>
    </row>
    <row r="9" spans="1:9" ht="15" x14ac:dyDescent="0.25">
      <c r="A9" s="683">
        <v>1.5</v>
      </c>
      <c r="B9" s="591" t="s">
        <v>77</v>
      </c>
      <c r="C9" s="585"/>
      <c r="D9" s="586"/>
      <c r="E9" s="587"/>
      <c r="F9" s="588"/>
      <c r="G9" s="684"/>
    </row>
    <row r="10" spans="1:9" ht="20.25" x14ac:dyDescent="0.25">
      <c r="A10" s="831" t="s">
        <v>46</v>
      </c>
      <c r="B10" s="832"/>
      <c r="C10" s="832"/>
      <c r="D10" s="832"/>
      <c r="E10" s="832"/>
      <c r="F10" s="833"/>
      <c r="G10" s="685"/>
    </row>
    <row r="11" spans="1:9" x14ac:dyDescent="0.25">
      <c r="A11" s="686" t="s">
        <v>569</v>
      </c>
      <c r="B11" s="593"/>
      <c r="C11" s="594"/>
      <c r="D11" s="593"/>
      <c r="E11" s="593"/>
      <c r="F11" s="595"/>
      <c r="G11" s="684"/>
    </row>
    <row r="12" spans="1:9" x14ac:dyDescent="0.25">
      <c r="A12" s="687"/>
      <c r="B12" s="593"/>
      <c r="C12" s="594"/>
      <c r="D12" s="593"/>
      <c r="E12" s="593"/>
      <c r="F12" s="595"/>
      <c r="G12" s="684"/>
    </row>
    <row r="13" spans="1:9" s="597" customFormat="1" ht="30" x14ac:dyDescent="0.25">
      <c r="A13" s="688" t="s">
        <v>5</v>
      </c>
      <c r="B13" s="689" t="s">
        <v>8</v>
      </c>
      <c r="C13" s="640" t="s">
        <v>7</v>
      </c>
      <c r="D13" s="640" t="s">
        <v>0</v>
      </c>
      <c r="E13" s="689"/>
      <c r="F13" s="690" t="s">
        <v>563</v>
      </c>
      <c r="G13" s="691"/>
    </row>
    <row r="14" spans="1:9" ht="15" x14ac:dyDescent="0.25">
      <c r="A14" s="681">
        <v>2</v>
      </c>
      <c r="B14" s="579" t="s">
        <v>570</v>
      </c>
      <c r="C14" s="580"/>
      <c r="D14" s="581"/>
      <c r="E14" s="581"/>
      <c r="F14" s="582"/>
      <c r="G14" s="682"/>
    </row>
    <row r="15" spans="1:9" ht="42.75" x14ac:dyDescent="0.25">
      <c r="A15" s="692" t="s">
        <v>289</v>
      </c>
      <c r="B15" s="598" t="s">
        <v>571</v>
      </c>
      <c r="C15" s="599"/>
      <c r="D15" s="600"/>
      <c r="E15" s="584"/>
      <c r="F15" s="588"/>
      <c r="G15" s="684"/>
    </row>
    <row r="16" spans="1:9" ht="15" x14ac:dyDescent="0.25">
      <c r="A16" s="692" t="s">
        <v>291</v>
      </c>
      <c r="B16" s="584" t="s">
        <v>573</v>
      </c>
      <c r="C16" s="599"/>
      <c r="D16" s="600"/>
      <c r="E16" s="584"/>
      <c r="F16" s="588"/>
      <c r="G16" s="684"/>
    </row>
    <row r="17" spans="1:9" ht="15" x14ac:dyDescent="0.25">
      <c r="A17" s="692" t="s">
        <v>293</v>
      </c>
      <c r="B17" s="584" t="s">
        <v>574</v>
      </c>
      <c r="C17" s="599"/>
      <c r="D17" s="600"/>
      <c r="E17" s="584"/>
      <c r="F17" s="588"/>
      <c r="G17" s="684"/>
    </row>
    <row r="18" spans="1:9" ht="21" thickBot="1" x14ac:dyDescent="0.3">
      <c r="A18" s="831" t="s">
        <v>46</v>
      </c>
      <c r="B18" s="832"/>
      <c r="C18" s="832"/>
      <c r="D18" s="832"/>
      <c r="E18" s="832"/>
      <c r="F18" s="833"/>
      <c r="G18" s="693">
        <v>0.114</v>
      </c>
    </row>
    <row r="19" spans="1:9" ht="15.75" thickTop="1" thickBot="1" x14ac:dyDescent="0.3">
      <c r="A19" s="687"/>
      <c r="B19" s="593"/>
      <c r="C19" s="594"/>
      <c r="D19" s="593"/>
      <c r="E19" s="593"/>
      <c r="F19" s="595"/>
      <c r="G19" s="684"/>
    </row>
    <row r="20" spans="1:9" s="597" customFormat="1" ht="30.75" thickTop="1" x14ac:dyDescent="0.25">
      <c r="A20" s="694">
        <v>3</v>
      </c>
      <c r="B20" s="695" t="s">
        <v>575</v>
      </c>
      <c r="C20" s="696"/>
      <c r="D20" s="697"/>
      <c r="E20" s="697"/>
      <c r="F20" s="698"/>
      <c r="G20" s="699" t="s">
        <v>565</v>
      </c>
      <c r="H20" s="601"/>
    </row>
    <row r="21" spans="1:9" s="606" customFormat="1" ht="15.75" x14ac:dyDescent="0.25">
      <c r="A21" s="700">
        <v>3</v>
      </c>
      <c r="B21" s="602" t="s">
        <v>576</v>
      </c>
      <c r="C21" s="603"/>
      <c r="D21" s="603"/>
      <c r="E21" s="603"/>
      <c r="F21" s="604"/>
      <c r="G21" s="701"/>
    </row>
    <row r="22" spans="1:9" s="606" customFormat="1" ht="15" x14ac:dyDescent="0.25">
      <c r="A22" s="700">
        <v>3.1</v>
      </c>
      <c r="B22" s="607" t="s">
        <v>171</v>
      </c>
      <c r="C22" s="603"/>
      <c r="D22" s="603"/>
      <c r="E22" s="608"/>
      <c r="F22" s="604"/>
      <c r="G22" s="701"/>
    </row>
    <row r="23" spans="1:9" s="606" customFormat="1" ht="15" x14ac:dyDescent="0.25">
      <c r="A23" s="700">
        <v>3.2</v>
      </c>
      <c r="B23" s="607" t="s">
        <v>172</v>
      </c>
      <c r="C23" s="603"/>
      <c r="D23" s="603"/>
      <c r="E23" s="608"/>
      <c r="F23" s="604"/>
      <c r="G23" s="701"/>
    </row>
    <row r="24" spans="1:9" s="606" customFormat="1" ht="15" x14ac:dyDescent="0.25">
      <c r="A24" s="700">
        <v>3.3</v>
      </c>
      <c r="B24" s="607" t="s">
        <v>173</v>
      </c>
      <c r="C24" s="603"/>
      <c r="D24" s="603"/>
      <c r="E24" s="608"/>
      <c r="F24" s="604"/>
      <c r="G24" s="701"/>
    </row>
    <row r="25" spans="1:9" s="606" customFormat="1" ht="15" x14ac:dyDescent="0.25">
      <c r="A25" s="700">
        <v>3.4</v>
      </c>
      <c r="B25" s="607" t="s">
        <v>174</v>
      </c>
      <c r="C25" s="603"/>
      <c r="D25" s="603"/>
      <c r="E25" s="608"/>
      <c r="F25" s="604"/>
      <c r="G25" s="701"/>
    </row>
    <row r="26" spans="1:9" s="606" customFormat="1" ht="15" x14ac:dyDescent="0.25">
      <c r="A26" s="700">
        <v>3.5</v>
      </c>
      <c r="B26" s="607" t="s">
        <v>175</v>
      </c>
      <c r="C26" s="603"/>
      <c r="D26" s="603"/>
      <c r="E26" s="608"/>
      <c r="F26" s="604"/>
      <c r="G26" s="701"/>
    </row>
    <row r="27" spans="1:9" s="606" customFormat="1" ht="15" x14ac:dyDescent="0.25">
      <c r="A27" s="700">
        <v>3.6</v>
      </c>
      <c r="B27" s="607" t="s">
        <v>176</v>
      </c>
      <c r="C27" s="603"/>
      <c r="D27" s="603"/>
      <c r="E27" s="608"/>
      <c r="F27" s="604"/>
      <c r="G27" s="701"/>
    </row>
    <row r="28" spans="1:9" s="606" customFormat="1" ht="15" x14ac:dyDescent="0.25">
      <c r="A28" s="700">
        <v>3.7</v>
      </c>
      <c r="B28" s="607" t="s">
        <v>177</v>
      </c>
      <c r="C28" s="603"/>
      <c r="D28" s="603"/>
      <c r="E28" s="608"/>
      <c r="F28" s="604"/>
      <c r="G28" s="701"/>
    </row>
    <row r="29" spans="1:9" s="606" customFormat="1" ht="15" x14ac:dyDescent="0.25">
      <c r="A29" s="700">
        <v>3.8</v>
      </c>
      <c r="B29" s="607" t="s">
        <v>178</v>
      </c>
      <c r="C29" s="603"/>
      <c r="D29" s="603"/>
      <c r="E29" s="608"/>
      <c r="F29" s="604"/>
      <c r="G29" s="701"/>
    </row>
    <row r="30" spans="1:9" ht="21" thickBot="1" x14ac:dyDescent="0.3">
      <c r="A30" s="834" t="s">
        <v>577</v>
      </c>
      <c r="B30" s="835"/>
      <c r="C30" s="835"/>
      <c r="D30" s="835"/>
      <c r="E30" s="835"/>
      <c r="F30" s="836"/>
      <c r="G30" s="702">
        <v>0.156</v>
      </c>
      <c r="I30" s="610"/>
    </row>
    <row r="31" spans="1:9" ht="15" customHeight="1" thickTop="1" thickBot="1" x14ac:dyDescent="0.3">
      <c r="A31" s="687"/>
      <c r="B31" s="593"/>
      <c r="C31" s="594"/>
      <c r="D31" s="593"/>
      <c r="E31" s="593"/>
      <c r="F31" s="595"/>
      <c r="G31" s="703"/>
    </row>
    <row r="32" spans="1:9" s="597" customFormat="1" ht="21" thickTop="1" x14ac:dyDescent="0.25">
      <c r="A32" s="837" t="s">
        <v>578</v>
      </c>
      <c r="B32" s="838"/>
      <c r="C32" s="838"/>
      <c r="D32" s="838"/>
      <c r="E32" s="838"/>
      <c r="F32" s="838"/>
      <c r="G32" s="839"/>
      <c r="I32" s="578"/>
    </row>
    <row r="33" spans="1:9" ht="20.25" x14ac:dyDescent="0.25">
      <c r="A33" s="681">
        <v>1</v>
      </c>
      <c r="B33" s="676" t="s">
        <v>579</v>
      </c>
      <c r="C33" s="612"/>
      <c r="D33" s="613"/>
      <c r="E33" s="613"/>
      <c r="F33" s="614" t="s">
        <v>563</v>
      </c>
      <c r="G33" s="704"/>
    </row>
    <row r="34" spans="1:9" s="606" customFormat="1" ht="20.25" x14ac:dyDescent="0.25">
      <c r="A34" s="683">
        <v>1.1000000000000001</v>
      </c>
      <c r="B34" s="615" t="s">
        <v>580</v>
      </c>
      <c r="C34" s="616"/>
      <c r="D34" s="617"/>
      <c r="E34" s="618"/>
      <c r="F34" s="589"/>
      <c r="G34" s="703"/>
      <c r="I34" s="578"/>
    </row>
    <row r="35" spans="1:9" ht="21" thickBot="1" x14ac:dyDescent="0.3">
      <c r="A35" s="840" t="s">
        <v>581</v>
      </c>
      <c r="B35" s="841"/>
      <c r="C35" s="841"/>
      <c r="D35" s="841"/>
      <c r="E35" s="841"/>
      <c r="F35" s="841"/>
      <c r="G35" s="693">
        <v>0.02</v>
      </c>
    </row>
    <row r="36" spans="1:9" ht="15" customHeight="1" thickTop="1" x14ac:dyDescent="0.25">
      <c r="A36" s="687"/>
      <c r="B36" s="593"/>
      <c r="C36" s="594"/>
      <c r="D36" s="593"/>
      <c r="E36" s="593"/>
      <c r="F36" s="595"/>
      <c r="G36" s="703"/>
    </row>
    <row r="37" spans="1:9" s="597" customFormat="1" ht="20.25" x14ac:dyDescent="0.25">
      <c r="A37" s="842" t="s">
        <v>582</v>
      </c>
      <c r="B37" s="843"/>
      <c r="C37" s="843"/>
      <c r="D37" s="843"/>
      <c r="E37" s="843"/>
      <c r="F37" s="843"/>
      <c r="G37" s="844"/>
      <c r="I37" s="578"/>
    </row>
    <row r="38" spans="1:9" ht="20.25" x14ac:dyDescent="0.25">
      <c r="A38" s="705">
        <v>1</v>
      </c>
      <c r="B38" s="706" t="s">
        <v>583</v>
      </c>
      <c r="C38" s="707"/>
      <c r="D38" s="708"/>
      <c r="E38" s="709"/>
      <c r="F38" s="710"/>
      <c r="G38" s="703"/>
    </row>
    <row r="39" spans="1:9" ht="21" thickBot="1" x14ac:dyDescent="0.3">
      <c r="A39" s="840" t="s">
        <v>584</v>
      </c>
      <c r="B39" s="841"/>
      <c r="C39" s="841"/>
      <c r="D39" s="841"/>
      <c r="E39" s="841"/>
      <c r="F39" s="841"/>
      <c r="G39" s="693">
        <v>0.06</v>
      </c>
    </row>
    <row r="40" spans="1:9" ht="21" thickTop="1" x14ac:dyDescent="0.25">
      <c r="A40" s="687"/>
      <c r="B40" s="593"/>
      <c r="C40" s="594"/>
      <c r="D40" s="593"/>
      <c r="E40" s="593"/>
      <c r="F40" s="595"/>
      <c r="G40" s="703"/>
    </row>
    <row r="41" spans="1:9" ht="20.25" x14ac:dyDescent="0.25">
      <c r="A41" s="845" t="s">
        <v>585</v>
      </c>
      <c r="B41" s="846"/>
      <c r="C41" s="846"/>
      <c r="D41" s="846"/>
      <c r="E41" s="846"/>
      <c r="F41" s="846"/>
      <c r="G41" s="711">
        <f>SUM(G3:G40)</f>
        <v>0.35000000000000003</v>
      </c>
    </row>
    <row r="43" spans="1:9" ht="59.25" customHeight="1" x14ac:dyDescent="0.25">
      <c r="C43" s="578"/>
      <c r="F43" s="630"/>
      <c r="G43" s="632"/>
    </row>
    <row r="44" spans="1:9" ht="18" x14ac:dyDescent="0.25">
      <c r="C44" s="727" t="s">
        <v>618</v>
      </c>
      <c r="D44" s="725"/>
      <c r="E44" s="725"/>
      <c r="F44" s="630"/>
      <c r="G44" s="634" t="s">
        <v>257</v>
      </c>
    </row>
    <row r="45" spans="1:9" ht="16.5" customHeight="1" x14ac:dyDescent="0.25">
      <c r="C45" s="728" t="s">
        <v>619</v>
      </c>
      <c r="D45" s="726"/>
      <c r="E45" s="726"/>
      <c r="F45" s="630"/>
      <c r="G45" s="634" t="s">
        <v>616</v>
      </c>
    </row>
    <row r="46" spans="1:9" ht="18" customHeight="1" x14ac:dyDescent="0.25">
      <c r="F46" s="630"/>
      <c r="G46" s="634" t="s">
        <v>16</v>
      </c>
    </row>
  </sheetData>
  <mergeCells count="10">
    <mergeCell ref="A32:G32"/>
    <mergeCell ref="A35:F35"/>
    <mergeCell ref="A37:G37"/>
    <mergeCell ref="A39:F39"/>
    <mergeCell ref="A41:F41"/>
    <mergeCell ref="A1:G1"/>
    <mergeCell ref="A2:G2"/>
    <mergeCell ref="A10:F10"/>
    <mergeCell ref="A18:F18"/>
    <mergeCell ref="A30:F30"/>
  </mergeCells>
  <pageMargins left="0.7" right="0.7" top="0.75" bottom="0.75" header="0.3" footer="0.3"/>
  <pageSetup paperSize="5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Ppto Ejecutado 2016</vt:lpstr>
      <vt:lpstr>Ppto Detallado 2017</vt:lpstr>
      <vt:lpstr>Ppto Detallado 2016 - 2019</vt:lpstr>
      <vt:lpstr>Presupuesto Consolidado</vt:lpstr>
      <vt:lpstr>Cronograma</vt:lpstr>
      <vt:lpstr>Cotizaciones intersección</vt:lpstr>
      <vt:lpstr>Ppto Obra Semaforización</vt:lpstr>
      <vt:lpstr>Cotizaciones Insumos Semaforos</vt:lpstr>
      <vt:lpstr>Anexo A.I.U.</vt:lpstr>
      <vt:lpstr>A.I.U. Obra Semaforización</vt:lpstr>
      <vt:lpstr>Interventoría Semaforización</vt:lpstr>
      <vt:lpstr>Factor Mult. 2.10</vt:lpstr>
      <vt:lpstr>A.P.U. Preliminares</vt:lpstr>
      <vt:lpstr>A.P.U. Equipos Nuevos</vt:lpstr>
      <vt:lpstr>A.P.U. Semaforos</vt:lpstr>
      <vt:lpstr>A.P.U. Postes y Cableado</vt:lpstr>
      <vt:lpstr>A.P.U. Obra Civil</vt:lpstr>
      <vt:lpstr>A.P.U. Señalización</vt:lpstr>
      <vt:lpstr>Mano Obra 2016</vt:lpstr>
      <vt:lpstr>'Ppto Detallado 2016 - 2019'!Títulos_a_imprimir</vt:lpstr>
      <vt:lpstr>'Ppto Detallado 2017'!Títulos_a_imprimir</vt:lpstr>
      <vt:lpstr>'Ppto Ejecutado 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Admin</cp:lastModifiedBy>
  <cp:lastPrinted>2017-01-05T21:41:56Z</cp:lastPrinted>
  <dcterms:created xsi:type="dcterms:W3CDTF">2011-08-04T15:57:03Z</dcterms:created>
  <dcterms:modified xsi:type="dcterms:W3CDTF">2017-09-25T13:04:04Z</dcterms:modified>
</cp:coreProperties>
</file>